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6384" windowHeight="8192" tabRatio="500"/>
  </bookViews>
  <sheets>
    <sheet name="INTRODUCCIÓN" sheetId="1" r:id="rId1"/>
    <sheet name="Assumptions" sheetId="2" r:id="rId2"/>
    <sheet name="Pricing research" sheetId="3" r:id="rId3"/>
    <sheet name="Cost of a check" sheetId="4" r:id="rId4"/>
    <sheet name="Sales" sheetId="5" r:id="rId5"/>
    <sheet name="Staff expenses" sheetId="6" r:id="rId6"/>
    <sheet name="Other expenses" sheetId="7" r:id="rId7"/>
    <sheet name="I+D expenses" sheetId="8" r:id="rId8"/>
    <sheet name="Ammortization" sheetId="9" r:id="rId9"/>
    <sheet name="Financing" sheetId="10" r:id="rId10"/>
    <sheet name="FINANCIAL MODEL" sheetId="11" r:id="rId11"/>
    <sheet name="TIR" sheetId="12" r:id="rId12"/>
    <sheet name="SaU" sheetId="13" r:id="rId13"/>
    <sheet name="Product margin" sheetId="14" r:id="rId14"/>
    <sheet name="SaaS metrics" sheetId="15" r:id="rId15"/>
    <sheet name="Sensitivity" sheetId="16" r:id="rId16"/>
    <sheet name="Scenarios" sheetId="17" r:id="rId17"/>
    <sheet name="Pilot KPIs" sheetId="18" r:id="rId18"/>
    <sheet name="Sources" sheetId="1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<sst xmlns="http://schemas.openxmlformats.org/spreadsheetml/2006/main" count="736" uniqueCount="577">
  <si>
    <t>counterview — Financial model v30 (NTT Data template structure)</t>
  </si>
  <si>
    <t>Tab</t>
  </si>
  <si>
    <t>Content</t>
  </si>
  <si>
    <t>Assumptions</t>
  </si>
  <si>
    <t>Prices, cost of sales by line, scenario switch in B4 (1 Downside, 2 Base, 3 Upside).</t>
  </si>
  <si>
    <t>Pricing research</t>
  </si>
  <si>
    <t>Competitor price evidence (October 2026, every figure checked against a file in references/) and unit economics: measured cost per check at list API prices (12–18 Oct 2026), check credits per plan, gross margin of each plan at full allowance use.</t>
  </si>
  <si>
    <t>Sales</t>
  </si>
  <si>
    <t>Newsrooms, PR &amp; communications, public-integrity / OSINT, API: customers, averages, prices, revenue, ARR.</t>
  </si>
  <si>
    <t>Staff expenses</t>
  </si>
  <si>
    <t>Gross cost per role and loaded cost; headcount.</t>
  </si>
  <si>
    <t>Other expenses</t>
  </si>
  <si>
    <t>Overheads.</t>
  </si>
  <si>
    <t>I+D expenses</t>
  </si>
  <si>
    <t>External R&amp;D.</t>
  </si>
  <si>
    <t>Ammortization</t>
  </si>
  <si>
    <t>Investment and amortization.</t>
  </si>
  <si>
    <t>Financing</t>
  </si>
  <si>
    <t>Self-funded: founders €10k + €300k from aligned angels (2027), ENISA €175k, ACCIÓ ≈€90k, NEOTEC €220k; no further round in the base case</t>
  </si>
  <si>
    <t>FINANCIAL MODEL</t>
  </si>
  <si>
    <t>P&amp;L, balance sheet, cash flow, VAN — all formulas.</t>
  </si>
  <si>
    <t>TIR</t>
  </si>
  <si>
    <t>IRR.</t>
  </si>
  <si>
    <t>SaU</t>
  </si>
  <si>
    <t>Sources and uses until break-even, 2027–2029.</t>
  </si>
  <si>
    <t>Product margin</t>
  </si>
  <si>
    <t>Cost of revenue build (usage by line, production hosting, customer success, royalty, payment fees), reconciled to the P&amp;L.</t>
  </si>
  <si>
    <t>Sensitivity</t>
  </si>
  <si>
    <t>VAN by discount rate × exit multiple.</t>
  </si>
  <si>
    <t>Scenarios</t>
  </si>
  <si>
    <t>Downside / Base / Upside, verified by switching Assumptions!B4.</t>
  </si>
  <si>
    <t>Pilot KPIs</t>
  </si>
  <si>
    <t>12-week action plan targets; fill in weekly.</t>
  </si>
  <si>
    <t>SaaS metrics</t>
  </si>
  <si>
    <t>ARR, growth, gross and EBITDA margin, Rule of 40, CAC, payback, LTV/CAC, burn multiple, runway.</t>
  </si>
  <si>
    <t>Cost of a check</t>
  </si>
  <si>
    <t>Employer cost of checking a claim, an image and a video by hand vs with counterview (plan §2.3 value anchor); sourced inputs, all results are formulas.</t>
  </si>
  <si>
    <t>Sources</t>
  </si>
  <si>
    <t>Every external figure used in this workbook → the file in references/ that contains it (click to open).</t>
  </si>
  <si>
    <t>Colour legend</t>
  </si>
  <si>
    <t>Blue = input · Black = formula · Green = link · Yellow fill = to confirm.</t>
  </si>
  <si>
    <t>Units</t>
  </si>
  <si>
    <t>€ thousands, constant prices, VAT excluded.</t>
  </si>
  <si>
    <t>Version</t>
  </si>
  <si>
    <t>v30, 25 October 2026. Matches counterview_business_plan_v30.docx. Forecast inputs are unchanged from v29 (2031 sales €1,497k, EBITDA €196k); changes: competitor prices corrected to their sources (in €, 1 EUR = 1.15 USD), new 'Cost of a check' and 'Sources' tabs, labels updated (Head of Commercial replaces the commercial co-founder). Keep this file next to the references/ folder so the links open.</t>
  </si>
  <si>
    <t>Assumptions and scenario drivers</t>
  </si>
  <si>
    <t>Blue = input. Change B4 to switch scenario.</t>
  </si>
  <si>
    <t>Scenario (1 Downside, 2 Base, 3 Upside)</t>
  </si>
  <si>
    <t>Newsroom team plan: average revenue per team (€k/yr)</t>
  </si>
  <si>
    <t>List €475/month (600 check credits) after a €500 one-month pilot; 8% off for annual prepayment → €5.24k net a year</t>
  </si>
  <si>
    <t>PR &amp; communications: average per agency (€k/yr)</t>
  </si>
  <si>
    <t>€1,200/month base after a €2,500 two-month pilot (8% prepay discount) + one €350 crisis add-on ≈3 months a year → ≈€14.3k net</t>
  </si>
  <si>
    <t>Public-integrity / OSINT licence (€k/yr)</t>
  </si>
  <si>
    <t>Blend: cloud €15–25k/yr and on-premise €35–50k/yr (on-premise by 2028)</t>
  </si>
  <si>
    <t>Set-up fee per new licence (€k)</t>
  </si>
  <si>
    <t>€10k per on-premise install (≈half of licences); none for cloud</t>
  </si>
  <si>
    <t>Election / event package (€k)</t>
  </si>
  <si>
    <t>Up to 10,000 credits over a campaign + prepared topic packs; under the €15k contrato-menor cap (LCSP art. 118; references/external/L01); plan months already paid that year are credited</t>
  </si>
  <si>
    <t>Royalty to UAB/CVC</t>
  </si>
  <si>
    <t>2% royalty to UAB/CVC, proposed to end at €1M cumulative revenue (or a €50–75k buyout); to negotiate</t>
  </si>
  <si>
    <t>Cost of revenue, usage — newsrooms (share of revenue)</t>
  </si>
  <si>
    <t>Full allowance use: 600 credits × €0.12 = €72 = 15% of €475/month (Unit economics, Pricing research tab)</t>
  </si>
  <si>
    <t>Cost of revenue, usage — PR</t>
  </si>
  <si>
    <t>Full use: 1,000 credits × €0.12 + claim-tracking re-runs ≈ €141 = 12% of €1,200/month; 15% kept as a buffer</t>
  </si>
  <si>
    <t>Cost of revenue, usage — public-integrity</t>
  </si>
  <si>
    <t>Offline: topic-pack refresh and travel; installation staff are in customer success (cost of revenue)</t>
  </si>
  <si>
    <t>Cost of revenue, usage — API</t>
  </si>
  <si>
    <t>Standard €0.50/credit (cost €0.12 = 24%); economy €0.20 (Brave only, cost €0.04 = 20%)</t>
  </si>
  <si>
    <t>Payment fees (cost of revenue)</t>
  </si>
  <si>
    <t>Card and bank-transfer fees; v28 combined these with commissions (6%)</t>
  </si>
  <si>
    <t>Employer social security factor</t>
  </si>
  <si>
    <t>BOE Orden PJC/297/2026: 30.65% employer contributions + accident premium (references/external/C01)</t>
  </si>
  <si>
    <t>Days to collect (DSO)</t>
  </si>
  <si>
    <t>Most customers prepay annually</t>
  </si>
  <si>
    <t>Days to pay (DPO)</t>
  </si>
  <si>
    <t>ENISA interest rate</t>
  </si>
  <si>
    <t>Amortization life (years)</t>
  </si>
  <si>
    <t>Tax — new company rate</t>
  </si>
  <si>
    <t>First two profitable years (Ley 27/2014 art. 29; references/external/L02)</t>
  </si>
  <si>
    <t>Tax — standard rate</t>
  </si>
  <si>
    <t>Years at reduced rate</t>
  </si>
  <si>
    <t>Discount rate (VAN)</t>
  </si>
  <si>
    <t>Exit multiple (× 2031 sales)</t>
  </si>
  <si>
    <t>Sales commissions (Sales &amp; Marketing opex)</t>
  </si>
  <si>
    <t>Business-developer and account-executive commissions on first-year contracts</t>
  </si>
  <si>
    <t>Scenario drivers</t>
  </si>
  <si>
    <t>Driver</t>
  </si>
  <si>
    <t>2027</t>
  </si>
  <si>
    <t>2028</t>
  </si>
  <si>
    <t>2029</t>
  </si>
  <si>
    <t>2030</t>
  </si>
  <si>
    <t>2031</t>
  </si>
  <si>
    <t>Downside</t>
  </si>
  <si>
    <t>Newsroom team plans (year-end)</t>
  </si>
  <si>
    <t>Election / event packages (in year)</t>
  </si>
  <si>
    <t>PR &amp; communications clients (year-end)</t>
  </si>
  <si>
    <t>Public-integrity licences (year-end)</t>
  </si>
  <si>
    <t>API revenue (€k)</t>
  </si>
  <si>
    <t>Base</t>
  </si>
  <si>
    <t>Upside</t>
  </si>
  <si>
    <t>LIVE (selected scenario)</t>
  </si>
  <si>
    <t>Competitor prices and unit economics (October 2026)</t>
  </si>
  <si>
    <t>Player</t>
  </si>
  <si>
    <t>Price evidence</t>
  </si>
  <si>
    <t>Segment</t>
  </si>
  <si>
    <t>Source (file in references/)</t>
  </si>
  <si>
    <t>Meltwater</t>
  </si>
  <si>
    <t>Quote only; €4.7–49.6k/yr across 126 purchases, median ≈€22.4k ($25,800; Vendr, Feb 2026)</t>
  </si>
  <si>
    <t>PR / monitoring</t>
  </si>
  <si>
    <t>M03_Vendr_Meltwater_pricing_capture.txt</t>
  </si>
  <si>
    <t>Cision</t>
  </si>
  <si>
    <t>SMB ≈€9.2k/yr ($10,618); enterprise ≈€76k/yr ($87,883) (SpendHound, Oct 2026)</t>
  </si>
  <si>
    <t>M04b_SpendHound_Cision_pricing.pdf</t>
  </si>
  <si>
    <t>Brandwatch / Talkwalker</t>
  </si>
  <si>
    <t>No public price; quote only (Toolradar)</t>
  </si>
  <si>
    <t>Social listening</t>
  </si>
  <si>
    <t>M06_Toolradar_Brandwatch.pdf</t>
  </si>
  <si>
    <t>NewsWhip</t>
  </si>
  <si>
    <t>Per user, quoted per contract (Capterra; page blocks capture, unverified)</t>
  </si>
  <si>
    <t>Monitoring</t>
  </si>
  <si>
    <t>https://www.capterra.com/p/161408/NewsWhip/</t>
  </si>
  <si>
    <t>Factiverse</t>
  </si>
  <si>
    <t>Pricing on request (iTechGuides)</t>
  </si>
  <si>
    <t>Newsroom fact-checking</t>
  </si>
  <si>
    <t>M08_iTechGuides_AI_factchecking_tools.pdf</t>
  </si>
  <si>
    <t>Self-serve AI fact-check tools</t>
  </si>
  <si>
    <t>€13–39/month ($15–45; ViralBuster)</t>
  </si>
  <si>
    <t>Individuals</t>
  </si>
  <si>
    <t>M11_Viralbuster_pricing.pdf</t>
  </si>
  <si>
    <t>Claim-check API</t>
  </si>
  <si>
    <t>≈€7 per 1,000 claims ($8; Apify)</t>
  </si>
  <si>
    <t>API</t>
  </si>
  <si>
    <t>M12_Apify_verify_API.pdf</t>
  </si>
  <si>
    <t>TinEye API</t>
  </si>
  <si>
    <t>€0.01–0.035 per image search (TinEye blog, 2015; no newer public price)</t>
  </si>
  <si>
    <t>API / images</t>
  </si>
  <si>
    <t>M09_TinEye_API_pricing_capture.txt</t>
  </si>
  <si>
    <t>Recorded Future / Maltego</t>
  </si>
  <si>
    <t>Recorded Future from ≈€23k/yr, median ≈€63k (Vendr, 48 purchases); Maltego pricing on request</t>
  </si>
  <si>
    <t>OSINT / police</t>
  </si>
  <si>
    <t>M17_Vendr_Recorded_Future_pricing_capture.txt</t>
  </si>
  <si>
    <t>Perplexity Pro</t>
  </si>
  <si>
    <t>$20/month per user</t>
  </si>
  <si>
    <t>General AI answers with citations</t>
  </si>
  <si>
    <t>https://perspectiveai.xyz/best-ai-for-journalism-2026/</t>
  </si>
  <si>
    <t>Google Fact Check Explorer</t>
  </si>
  <si>
    <t>Free (ClaimReview index; counterview queries it in every check)</t>
  </si>
  <si>
    <t>Published fact-checks only</t>
  </si>
  <si>
    <t>https://toolbox.google.com/factcheck/explorer</t>
  </si>
  <si>
    <t>Prices in € at 1 EUR = 1.15 USD (ECB 12-month average 1.1588); Perplexity and Google Fact Check Explorer from their public pages.</t>
  </si>
  <si>
    <t>X01_ECB_EUR_USD_reference_rate.pdf</t>
  </si>
  <si>
    <t>Unit cost per check at list API prices (measured 12–18 Oct 2026; 1 EUR = 1.15 USD)</t>
  </si>
  <si>
    <t>Check</t>
  </si>
  <si>
    <t>Live web (€)</t>
  </si>
  <si>
    <t>Web-search share</t>
  </si>
  <si>
    <t>Offline (€)</t>
  </si>
  <si>
    <t>Credits</t>
  </si>
  <si>
    <t>Measured on (spend ledger, references/internal/I07)</t>
  </si>
  <si>
    <t>Typed text claim</t>
  </si>
  <si>
    <t>8 checks: €0.088–0.132; offline: 1 check</t>
  </si>
  <si>
    <t>Image post with caption</t>
  </si>
  <si>
    <t>7 checks: €0.093–0.176; offline estimated</t>
  </si>
  <si>
    <t>Video: each claim the user ticks</t>
  </si>
  <si>
    <t>Picker runs: €0.07 (19 claims) – €0.11 (10)</t>
  </si>
  <si>
    <t>Video: transcription + claim extraction, per minute</t>
  </si>
  <si>
    <t>Included; Whisper and embeddings on own GPU</t>
  </si>
  <si>
    <t>Planning cost per credit (median ≈ €0.09 + 30% buffer: retries, hard claims, extra rounds)</t>
  </si>
  <si>
    <t>Economy-search cost per credit (Brave only: 7 searches + AI judge)</t>
  </si>
  <si>
    <t>Plan (full allowance use)</t>
  </si>
  <si>
    <t>Price (€)</t>
  </si>
  <si>
    <t>Credits included</t>
  </si>
  <si>
    <t>Other usage (€)</t>
  </si>
  <si>
    <t>Usage cost (€)</t>
  </si>
  <si>
    <t>Share of price</t>
  </si>
  <si>
    <t>Gross margin*</t>
  </si>
  <si>
    <t>Newsroom team plan, per month (list €475; shown net of the 8% prepay discount)</t>
  </si>
  <si>
    <t>PR &amp; communications workspace, per month</t>
  </si>
  <si>
    <t>Election / event package, per campaign</t>
  </si>
  <si>
    <t>Extra credits, per credit (newsroom €0.50; PR €0.40)</t>
  </si>
  <si>
    <t>API standard search, per credit</t>
  </si>
  <si>
    <t>API economy search (Brave only), per credit</t>
  </si>
  <si>
    <t>v28 newsroom design, for comparison only (250 text, 50 image, 120 video min at €0.73/min)</t>
  </si>
  <si>
    <t>*Before production hosting and customer success, which are fixed costs in the P&amp;L cost of revenue. After 2% royalty and 2% payment fees.</t>
  </si>
  <si>
    <t>List prices: Google grounded search (Gemini 2.5) $35 per 1,000 prompts; Gemini 3 grounding $14 per 1,000 queries; Brave Search $5 per 1,000; Google Vision web detection $3.50 per 1,000 (captures P01–P03 in references/external); OpenAI judge as billed. Free tiers (1,500 Google prompts a day) are upside, not plan.</t>
  </si>
  <si>
    <t>Credits: 1 per live text claim or ticked video claim, 2 per image post, 1 per extra search round; checks answered from the offline library or a topic pack use no credit.</t>
  </si>
  <si>
    <t>Cost of a check to the employer: by hand vs with counterview (plan v30 §1.1, §2.3)</t>
  </si>
  <si>
    <t>Blue = sourced input; black = formula. Click a source to open the file in references/.</t>
  </si>
  <si>
    <t>Input</t>
  </si>
  <si>
    <t>Value</t>
  </si>
  <si>
    <t>Unit</t>
  </si>
  <si>
    <t>Source</t>
  </si>
  <si>
    <t>Gross pay per hour, high-skill occupations, Catalonia, 2024</t>
  </si>
  <si>
    <t>€/h</t>
  </si>
  <si>
    <t>INE EAES 2024, table 28204</t>
  </si>
  <si>
    <t>Employer social security, 2026 (23.60 + 5.50 + 0.20 + 0.60 + 0.75)</t>
  </si>
  <si>
    <t>share</t>
  </si>
  <si>
    <t>BOE Orden PJC/297/2026, pp. 5, 16, 30–31</t>
  </si>
  <si>
    <t>Employer cost per hour</t>
  </si>
  <si>
    <t>formula</t>
  </si>
  <si>
    <t>Manual time, simplest typed claim</t>
  </si>
  <si>
    <t>min</t>
  </si>
  <si>
    <t>Hassan et al. 2015, p.1: '15 to 30 minutes for the most simple fact-check'</t>
  </si>
  <si>
    <t>Manual time, typical typed claim (a full day, taken as 8 h)</t>
  </si>
  <si>
    <t>Hassan et al. 2015, p.1: 'a full day for a more typical one'</t>
  </si>
  <si>
    <t>Manual time, tracing an image's history</t>
  </si>
  <si>
    <t>Caulfield, Nieman Lab, 19 Aug 2026 (expert estimate)</t>
  </si>
  <si>
    <t>Checkable claims in a 20-min political video</t>
  </si>
  <si>
    <t>claims</t>
  </si>
  <si>
    <t>Our measurement: 7.4–9.3 claims per minute of speech</t>
  </si>
  <si>
    <t>Claims pre-selected per video by counterview</t>
  </si>
  <si>
    <t>Product default (plan §2.3)</t>
  </si>
  <si>
    <t>Usage cost, typed claim, list prices</t>
  </si>
  <si>
    <t>€</t>
  </si>
  <si>
    <t>Spend ledger §1, 29,511 paid API events</t>
  </si>
  <si>
    <t>Usage cost, image post, list prices</t>
  </si>
  <si>
    <t>Spend ledger (estimate €0.13–0.18)</t>
  </si>
  <si>
    <t>Usage cost per video claim, list prices</t>
  </si>
  <si>
    <t>Spend ledger: €0.07–0.11 (midpoint)</t>
  </si>
  <si>
    <t>Time saved, conservative (evidence briefs)</t>
  </si>
  <si>
    <t>Fan et al. 2020, abstract: 'reduce the time required by around 20%'</t>
  </si>
  <si>
    <t>Time saved, image history with a tool (50 → 3 min)</t>
  </si>
  <si>
    <t>Caulfield, Nieman Lab 2026</t>
  </si>
  <si>
    <t>Newsroom plan price (average)</t>
  </si>
  <si>
    <t>€/month</t>
  </si>
  <si>
    <t>Assumptions!B7 before the 8% prepay discount (≈€475)</t>
  </si>
  <si>
    <t>Check credits in the newsroom plan</t>
  </si>
  <si>
    <t>credits/month</t>
  </si>
  <si>
    <t>Pricing research!C27</t>
  </si>
  <si>
    <t>PR workspace price</t>
  </si>
  <si>
    <t>Pricing research!B29</t>
  </si>
  <si>
    <t>Analyst review time per claim with counterview (working assumption; the pilots measure it)</t>
  </si>
  <si>
    <t>Assumption: reading the brief and checking key quotes; the editor keeps the verdict</t>
  </si>
  <si>
    <t>Check credits in the PR workspace</t>
  </si>
  <si>
    <t>Pricing research!C29</t>
  </si>
  <si>
    <t>By hand</t>
  </si>
  <si>
    <t>counterview, −20% time</t>
  </si>
  <si>
    <t>counterview, −94% time</t>
  </si>
  <si>
    <t>Typed claim, simplest (15 min)</t>
  </si>
  <si>
    <t>Typed claim, typical (one day)</t>
  </si>
  <si>
    <t>Image post (50 min)</t>
  </si>
  <si>
    <t>20-min video, 10 pre-selected claims at 15 min</t>
  </si>
  <si>
    <t>20-min video, all 45 claims at 15 min</t>
  </si>
  <si>
    <t>NEWSROOM PLAN: credits used on simplest typed claims</t>
  </si>
  <si>
    <t>Saving, −20%</t>
  </si>
  <si>
    <t>Saving, −94%</t>
  </si>
  <si>
    <t>Monthly analyst cost / saving (€)</t>
  </si>
  <si>
    <t>Newsroom (600 claims, €475 plan), 5-min review: time saved | cost of checking reduced (incl. our fee)</t>
  </si>
  <si>
    <t>Notes: the 15-minute minimum is the most conservative published figure; the image time is an expert estimate, not a study; no published source gives a time per video, so it is our claim count × the simplest-claim time. Later reviews (Fan et al. 2020; Thorne &amp; Vlachos 2018) repeat Hassan's range and are not independent sources. The pilots measure each team's own time per check.</t>
  </si>
  <si>
    <t>PR workspace (1,000 claims, €1,200 plan), 5-min review: time saved | cost of checking reduced (incl. our fee)</t>
  </si>
  <si>
    <t>Sensitivity, analyst cost per hour (employer)</t>
  </si>
  <si>
    <t>Newsroom cost reduction at €30 | €45 an hour</t>
  </si>
  <si>
    <t>PR cost reduction at €30 | €45 an hour</t>
  </si>
  <si>
    <t>One rate for both: INE 2022 sector pay (file C06) differs by about 12% between publishing/media and advertising/consultancy, and INE publishes no wage for journalists or PR specialists separately.</t>
  </si>
  <si>
    <t>Sales projections</t>
  </si>
  <si>
    <t>Revenue uses average active customers.</t>
  </si>
  <si>
    <t>€ thousands</t>
  </si>
  <si>
    <t>Newsroom team plans — average</t>
  </si>
  <si>
    <t>Team plan revenue</t>
  </si>
  <si>
    <t>Election / event packages</t>
  </si>
  <si>
    <t>Package revenue</t>
  </si>
  <si>
    <t>NEWSROOMS revenue</t>
  </si>
  <si>
    <t>PR &amp; communications clients — average</t>
  </si>
  <si>
    <t>PR &amp; COMMUNICATIONS revenue</t>
  </si>
  <si>
    <t>Public-integrity licences — average</t>
  </si>
  <si>
    <t>Licence revenue</t>
  </si>
  <si>
    <t>New licences in year</t>
  </si>
  <si>
    <t>Set-up fees</t>
  </si>
  <si>
    <t>PUBLIC-INTEGRITY / OSINT revenue</t>
  </si>
  <si>
    <t>API revenue</t>
  </si>
  <si>
    <t>Paid pilots (customers who convert; €500 newsroom, €2,500 PR)</t>
  </si>
  <si>
    <t>TOTAL SALES</t>
  </si>
  <si>
    <t>ARR at year-end</t>
  </si>
  <si>
    <t>Excludes packages and set-up fees</t>
  </si>
  <si>
    <t>Gross cost per role (input) × social-security factor.</t>
  </si>
  <si>
    <t>Founder &amp; Project Lead — gross (€k); €48k until ARR passes €300k</t>
  </si>
  <si>
    <t xml:space="preserve">  Loaded cost</t>
  </si>
  <si>
    <t>Head of Commercial — gross (€k); hired at €500k ARR</t>
  </si>
  <si>
    <t>Business developer — gross (€k); hired at €75k ARR</t>
  </si>
  <si>
    <t>ML / software engineers — gross (€k); #1 2027, #2 2028 (on-premise), #3 at €500k, #4 at €900k ARR</t>
  </si>
  <si>
    <t>Customer success / deployment — gross (€k); at €250k and €900k ARR</t>
  </si>
  <si>
    <t>Account executives — gross (€k); at €900k ARR</t>
  </si>
  <si>
    <t>TOTAL STAFF</t>
  </si>
  <si>
    <t>Headcount (FTE at year-end)</t>
  </si>
  <si>
    <t>Management (Founder &amp; Project Lead, Head of Commercial)</t>
  </si>
  <si>
    <t>Business developer</t>
  </si>
  <si>
    <t>Engineering and research</t>
  </si>
  <si>
    <t>Customer success / deployment</t>
  </si>
  <si>
    <t>Account executives</t>
  </si>
  <si>
    <t>Total FTE</t>
  </si>
  <si>
    <t>Rent</t>
  </si>
  <si>
    <t>Software and internal IT (production hosting moved to cost of revenue)</t>
  </si>
  <si>
    <t>Lawyers (incorporation, IP licence, contracts, GDPR / AI Act, search-engine terms)</t>
  </si>
  <si>
    <t>Mobile phones</t>
  </si>
  <si>
    <t>Accounting &amp; gestoria</t>
  </si>
  <si>
    <t>Marketing &amp; travel (8% of revenue, €15–90k)</t>
  </si>
  <si>
    <t>Insurance &amp; others</t>
  </si>
  <si>
    <t>External support (security audit, ENS / ISO 27001, legal review)</t>
  </si>
  <si>
    <t>Subscriptions (data, associations)</t>
  </si>
  <si>
    <t>Sales commissions (S&amp;M)</t>
  </si>
  <si>
    <t>TOTAL OTHER EXPENSES</t>
  </si>
  <si>
    <t>Production hosting, cloud GPU and database (in cost of revenue, not in the total above)</t>
  </si>
  <si>
    <t>R&amp;D (external)</t>
  </si>
  <si>
    <t>Annotation, evaluation, audits</t>
  </si>
  <si>
    <t>TOTAL R&amp;D</t>
  </si>
  <si>
    <t>Investment and amortization</t>
  </si>
  <si>
    <t>Reference appliance for public-integrity pilots (L40S server)</t>
  </si>
  <si>
    <t>Laptops and equipment</t>
  </si>
  <si>
    <t>Office fit-out</t>
  </si>
  <si>
    <t>TOTAL INVESTMENT</t>
  </si>
  <si>
    <t>Amortization</t>
  </si>
  <si>
    <t>Cumulative investment</t>
  </si>
  <si>
    <t>Cumulative amortization</t>
  </si>
  <si>
    <t>NET FIXED ASSETS</t>
  </si>
  <si>
    <t>Financing: staged equity, loans and grants</t>
  </si>
  <si>
    <t>Founders</t>
  </si>
  <si>
    <t>Pre-seed (convertible / participative loan, 2027)</t>
  </si>
  <si>
    <t>€2.0–2.5M cap (indicative); aligned angels, information rights only</t>
  </si>
  <si>
    <t>Optional later round (not planned)</t>
  </si>
  <si>
    <t>Only from strength (e.g. &gt;€600k ARR), to grow faster</t>
  </si>
  <si>
    <t>INCREASING CAPITAL</t>
  </si>
  <si>
    <t>TOTAL CAPITAL (cumulative)</t>
  </si>
  <si>
    <t>ENISA loans drawn (€75k 2027; €100k 2028)</t>
  </si>
  <si>
    <t>ENISA young-founder loan €25–75k, own funds ≥50% (F02, secondary summary; confirm on enisa.es)</t>
  </si>
  <si>
    <t>ENISA repaid</t>
  </si>
  <si>
    <t>PENDING DEBT</t>
  </si>
  <si>
    <t>Interest</t>
  </si>
  <si>
    <t>Grants — income (ACCIÓ ≈€90k 2027–28; NEOTEC €220k 2028–29)</t>
  </si>
  <si>
    <t>ACCIÓ Startup Capital 75%, max €99k (F03); NEOTEC up to 70%, max €250k (F01)</t>
  </si>
  <si>
    <t>Grants — cash</t>
  </si>
  <si>
    <t>Grants receivable</t>
  </si>
  <si>
    <t>P&amp;L, balance sheet, cash flow and VAN</t>
  </si>
  <si>
    <t>PROFIT / LOSS (€k)</t>
  </si>
  <si>
    <t>Newsrooms</t>
  </si>
  <si>
    <t>PR &amp; communications</t>
  </si>
  <si>
    <t>Public-integrity / OSINT</t>
  </si>
  <si>
    <t>API and paid pilots</t>
  </si>
  <si>
    <t>Royalty UAB/CVC</t>
  </si>
  <si>
    <t>Cost of revenue: usage by line + production hosting + customer success</t>
  </si>
  <si>
    <t>Payment fees</t>
  </si>
  <si>
    <t>TOTAL COST OF REVENUE</t>
  </si>
  <si>
    <t>GROSS MARGIN</t>
  </si>
  <si>
    <t>Grant income</t>
  </si>
  <si>
    <t>R&amp;D</t>
  </si>
  <si>
    <t>Staff (excl. customer success, in cost of revenue)</t>
  </si>
  <si>
    <t>EBITDA</t>
  </si>
  <si>
    <t>EBIT</t>
  </si>
  <si>
    <t>Interests</t>
  </si>
  <si>
    <t>EBT</t>
  </si>
  <si>
    <t>INCOME TAX</t>
  </si>
  <si>
    <t>NET PROFIT</t>
  </si>
  <si>
    <t>Gross margin %</t>
  </si>
  <si>
    <t>EBITDA %</t>
  </si>
  <si>
    <t>BALANCE SHEET (€k)</t>
  </si>
  <si>
    <t>FIXED ASSETS</t>
  </si>
  <si>
    <t>CLIENTS</t>
  </si>
  <si>
    <t>TREASURY</t>
  </si>
  <si>
    <t>TOTAL ASSETS</t>
  </si>
  <si>
    <t>SOCIAL CAPITAL</t>
  </si>
  <si>
    <t>RESERVES</t>
  </si>
  <si>
    <t>EQUITY</t>
  </si>
  <si>
    <t>ENISA LOANS</t>
  </si>
  <si>
    <t>Trade creditors</t>
  </si>
  <si>
    <t>TOTAL LIABILITIES AND EQUITY</t>
  </si>
  <si>
    <t>Check (must be zero)</t>
  </si>
  <si>
    <t>CASHFLOW (€k)</t>
  </si>
  <si>
    <t>Financial result</t>
  </si>
  <si>
    <t>Income tax</t>
  </si>
  <si>
    <t>CURRENT CASH FLOW</t>
  </si>
  <si>
    <t>Debtors change</t>
  </si>
  <si>
    <t>Creditors change</t>
  </si>
  <si>
    <t>GROSS CASH FLOW</t>
  </si>
  <si>
    <t>Investment</t>
  </si>
  <si>
    <t>FREE CASH FLOW</t>
  </si>
  <si>
    <t>Loans drawn / (repaid)</t>
  </si>
  <si>
    <t>Capital increases</t>
  </si>
  <si>
    <t>FINANCIAL CASH FLOW</t>
  </si>
  <si>
    <t>TREASURY VARIATION</t>
  </si>
  <si>
    <t>ACCUMULATED CASH</t>
  </si>
  <si>
    <t>Cumulative cash before equity</t>
  </si>
  <si>
    <t>Peak funding need before equity (€k)</t>
  </si>
  <si>
    <t>EBITDA break-even year</t>
  </si>
  <si>
    <t>VAN (€k)</t>
  </si>
  <si>
    <t>Free cash flow</t>
  </si>
  <si>
    <t>Discount factor</t>
  </si>
  <si>
    <t>Present value</t>
  </si>
  <si>
    <t>Terminal value</t>
  </si>
  <si>
    <t>NPV of free cash flows</t>
  </si>
  <si>
    <t>VAN incl. terminal value</t>
  </si>
  <si>
    <t>Tax computation (€k)</t>
  </si>
  <si>
    <t>Income tax payable</t>
  </si>
  <si>
    <t>Losses available (opening)</t>
  </si>
  <si>
    <t>Losses used</t>
  </si>
  <si>
    <t>Losses available (closing)</t>
  </si>
  <si>
    <t>Taxable base</t>
  </si>
  <si>
    <t>Years with positive base</t>
  </si>
  <si>
    <t>EBITDA before grants (operating)</t>
  </si>
  <si>
    <t>Operating break-even year (EBITDA before grants ≥ 0)</t>
  </si>
  <si>
    <t>Grant income (ACCIÓ, NEOTEC) is non-operating: 'break-even 2029' in the plan includes €110k of NEOTEC; operating break-even is the year above.</t>
  </si>
  <si>
    <t>TIR (IRR)</t>
  </si>
  <si>
    <t>Flows</t>
  </si>
  <si>
    <t>TIR incl. terminal value</t>
  </si>
  <si>
    <t>Sources and uses until break-even, 2027–2029</t>
  </si>
  <si>
    <t>Equity</t>
  </si>
  <si>
    <t>ENISA loans</t>
  </si>
  <si>
    <t>Grants (income)</t>
  </si>
  <si>
    <t>TOTAL SOURCES</t>
  </si>
  <si>
    <t>Uses</t>
  </si>
  <si>
    <t>Operating losses before grants</t>
  </si>
  <si>
    <t>Working capital end 2029</t>
  </si>
  <si>
    <t>Capex 2027–2029</t>
  </si>
  <si>
    <t>Loan repayments</t>
  </si>
  <si>
    <t>Cash end 2029</t>
  </si>
  <si>
    <t>TOTAL USES</t>
  </si>
  <si>
    <t>Cost of revenue and gross margin (SaaS standard), reconciled to the P&amp;L</t>
  </si>
  <si>
    <t>Revenue</t>
  </si>
  <si>
    <t>Usage: newsrooms (search, AI judge)</t>
  </si>
  <si>
    <t>Usage: PR &amp; communications</t>
  </si>
  <si>
    <t>Usage: public-integrity (pack refresh)</t>
  </si>
  <si>
    <t>Usage: API</t>
  </si>
  <si>
    <t>Production hosting, cloud GPU, database</t>
  </si>
  <si>
    <t>Customer success and deployment staff</t>
  </si>
  <si>
    <t>Check vs P&amp;L (must be zero)</t>
  </si>
  <si>
    <t>Usage gross margin by line (after usage, royalty and payment fees; before fixed hosting and customer success)</t>
  </si>
  <si>
    <t>SaaS metrics (illustrative until the first contracts; base case unless the scenario switch is changed)</t>
  </si>
  <si>
    <t>Churn rates are assumptions to validate in the pilots and first contracts.</t>
  </si>
  <si>
    <t>Annual logo churn — newsroom plans</t>
  </si>
  <si>
    <t>Annual logo churn — PR clients</t>
  </si>
  <si>
    <t>Annual logo churn — public-integrity licences</t>
  </si>
  <si>
    <t>Founder time on sales, in CAC (share of founder cost: before / after the Head of Commercial joins)</t>
  </si>
  <si>
    <t>Net new ARR</t>
  </si>
  <si>
    <t>ARR growth</t>
  </si>
  <si>
    <t>Revenue growth</t>
  </si>
  <si>
    <t>EBITDA margin %</t>
  </si>
  <si>
    <t>Rule of 40 (revenue growth + EBITDA margin; from 2029, when the base is meaningful)</t>
  </si>
  <si>
    <t>n/m</t>
  </si>
  <si>
    <t>Customers at year-end (newsroom, PR, public-integrity)</t>
  </si>
  <si>
    <t>Churned customers (prior year-end × churn)</t>
  </si>
  <si>
    <t>Gross new customers</t>
  </si>
  <si>
    <t>Sales &amp; marketing spend (BD, AEs, Head of Commercial, founder selling time, commissions, marketing)</t>
  </si>
  <si>
    <t>Blended CAC (€k per new customer)</t>
  </si>
  <si>
    <t>Average ARR per customer (€k, excl. API)</t>
  </si>
  <si>
    <t>Blended annual churn</t>
  </si>
  <si>
    <t>CAC payback (months, gross-margin basis)</t>
  </si>
  <si>
    <t>Customer lifetime value (€k, gross-margin basis)</t>
  </si>
  <si>
    <t>LTV / CAC</t>
  </si>
  <si>
    <t>Net burn (negative free cash flow)</t>
  </si>
  <si>
    <t>Burn multiple (net burn / net new ARR)</t>
  </si>
  <si>
    <t>Year-end cash</t>
  </si>
  <si>
    <t>Runway at year-end (months of that year's net burn)</t>
  </si>
  <si>
    <t>CAC uses all sales &amp; marketing spend: Head of Commercial, business developer, account executives, commissions, marketing, and the founder's selling time (50% of the founder's cost until the Head of Commercial joins, 25% after). LTV uses gross-margin-basis ARPA and blended churn (no expansion revenue). Churn and CAC are assumptions until the first contracts.</t>
  </si>
  <si>
    <t>VAN: discount rate × exit multiple</t>
  </si>
  <si>
    <t>Discount \ multiple</t>
  </si>
  <si>
    <t>Scenario comparison (plan §7.10)</t>
  </si>
  <si>
    <t>Scenario</t>
  </si>
  <si>
    <t>2031 sales</t>
  </si>
  <si>
    <t>2031 EBITDA</t>
  </si>
  <si>
    <t>EBITDA ≥ 0</t>
  </si>
  <si>
    <t>Lowest year-end cash</t>
  </si>
  <si>
    <t>ARR 2031</t>
  </si>
  <si>
    <t>Base, NEOTEC rejected (no other change)</t>
  </si>
  <si>
    <t>Live check of selected scenario:</t>
  </si>
  <si>
    <t>Unit-cost sensitivity (base customers and prices; only the usage cost shares change)</t>
  </si>
  <si>
    <t>Case</t>
  </si>
  <si>
    <t>Usage shares (news/PR/PI/API)</t>
  </si>
  <si>
    <t>2031 GM</t>
  </si>
  <si>
    <t>Lowest cash</t>
  </si>
  <si>
    <t>Economy search</t>
  </si>
  <si>
    <t>5/6/10/10</t>
  </si>
  <si>
    <t>Search prices +50%</t>
  </si>
  <si>
    <t>22/22/10/36</t>
  </si>
  <si>
    <t>Cost per credit ×2</t>
  </si>
  <si>
    <t>30/30/10/50</t>
  </si>
  <si>
    <t>Downside and upside staff follow the hiring triggers (customers, cash floor); their values were computed with the plan model. The staff tab holds the base case. 'NEOTEC rejected' is this workbook with the NEOTEC grant removed (Financing row 15–16).</t>
  </si>
  <si>
    <t>Pilot KPIs — 12-week action plan and June 2027 go / no-go</t>
  </si>
  <si>
    <t>Metric</t>
  </si>
  <si>
    <t>Current</t>
  </si>
  <si>
    <t>Target week 12</t>
  </si>
  <si>
    <t>Target June 2027</t>
  </si>
  <si>
    <t>Why</t>
  </si>
  <si>
    <t>Pilot teams started</t>
  </si>
  <si>
    <t>Users activated</t>
  </si>
  <si>
    <t>Useful-check rate</t>
  </si>
  <si>
    <t>Week-2 retention</t>
  </si>
  <si>
    <t>UMUX-Lite / SUS score</t>
  </si>
  <si>
    <t>Pilot task pass rate</t>
  </si>
  <si>
    <t>Paid offers accepted / LOIs</t>
  </si>
  <si>
    <t>Paying customers</t>
  </si>
  <si>
    <t>or €60k signed annual value</t>
  </si>
  <si>
    <t>Source direction vs human-expert reference (new benchmark)</t>
  </si>
  <si>
    <t>0.93–0.96 on typed claims (8 runs, 18 Oct 2026; model+review reference, provisional); video claims: wrong side 26–33% on a single-annotator set</t>
  </si>
  <si>
    <t>Claims with unresolved references</t>
  </si>
  <si>
    <t>16% today</t>
  </si>
  <si>
    <t>Head of Commercial candidates kept warm (hire at €500k ARR)</t>
  </si>
  <si>
    <t>shortlist</t>
  </si>
  <si>
    <t>Newsroom cost of sales (share of price)</t>
  </si>
  <si>
    <t>Usage cost at full allowance use, list prices (check credits; spend ledger)</t>
  </si>
  <si>
    <t>Sources: every external figure in this workbook and the file that contains it</t>
  </si>
  <si>
    <t>Files are in references/ next to this workbook (full index: references/00_INDEX.md). All checked on 23 Oct 2026.</t>
  </si>
  <si>
    <t>Figure</t>
  </si>
  <si>
    <t>File (click to open)</t>
  </si>
  <si>
    <t>Time per fact-check: 15–30 min simplest, a full day typical</t>
  </si>
  <si>
    <t>Hassan et al. 2015, p.1</t>
  </si>
  <si>
    <t>T01_Hassan_et_al_2015_Quest_to_Automate_Fact-Checking.pdf</t>
  </si>
  <si>
    <t>Briefs cut checking time ≈20%</t>
  </si>
  <si>
    <t>Fan et al., EMNLP 2020</t>
  </si>
  <si>
    <t>T03_Fan_et_al_2020_Generating_Fact_Checking_Briefs.pdf</t>
  </si>
  <si>
    <t>Range repeated: &lt; 1 hour to a few days</t>
  </si>
  <si>
    <t>Thorne &amp; Vlachos, COLING 2018</t>
  </si>
  <si>
    <t>T02_Thorne_Vlachos_2018_COLING_AFC_survey.pdf</t>
  </si>
  <si>
    <t>Image history 50 min by hand, 3 with a tool</t>
  </si>
  <si>
    <t>T08_NiemanLab_2026_Google_Backstory_capture.txt</t>
  </si>
  <si>
    <t>€27.37 gross per hour, high-skill, Catalonia 2024</t>
  </si>
  <si>
    <t>INE EAES 2024 (raw JSON: C03, C04)</t>
  </si>
  <si>
    <t>C05_INE_EAES2024_hourly_wage_capture.txt</t>
  </si>
  <si>
    <t>30.65% employer social security 2026 (×1.31 with accident premium)</t>
  </si>
  <si>
    <t>BOE Orden PJC/297/2026</t>
  </si>
  <si>
    <t>C01_BOE_Orden_PJC_297_2026_cotizacion.pdf</t>
  </si>
  <si>
    <t>Meltwater median ≈€22.4k, range €4.7–49.6k</t>
  </si>
  <si>
    <t>Vendr capture</t>
  </si>
  <si>
    <t>Cision ≈€9.2k SMB / ≈€76k enterprise</t>
  </si>
  <si>
    <t>SpendHound</t>
  </si>
  <si>
    <t>Brandwatch / Talkwalker: no public price</t>
  </si>
  <si>
    <t>Toolradar</t>
  </si>
  <si>
    <t>Factiverse: price on request</t>
  </si>
  <si>
    <t>iTechGuides</t>
  </si>
  <si>
    <t>Self-serve tools €13–39/month</t>
  </si>
  <si>
    <t>ViralBuster</t>
  </si>
  <si>
    <t>Claim API ≈€7 / 1,000</t>
  </si>
  <si>
    <t>Apify</t>
  </si>
  <si>
    <t>TinEye €0.01–0.035 per search</t>
  </si>
  <si>
    <t>TinEye blog capture</t>
  </si>
  <si>
    <t>Recorded Future from ≈€23k, median ≈€63k</t>
  </si>
  <si>
    <t>Google grounding $35 / 1,000 (2.5), $14 / 1,000 (3)</t>
  </si>
  <si>
    <t>Google pricing capture</t>
  </si>
  <si>
    <t>P01_Google_Gemini_API_pricing_capture.txt</t>
  </si>
  <si>
    <t>Brave Search $5 / 1,000</t>
  </si>
  <si>
    <t>Brave pricing capture</t>
  </si>
  <si>
    <t>P02_Brave_Search_API_pricing_capture.txt</t>
  </si>
  <si>
    <t>Google Vision $3.50 / 1,000</t>
  </si>
  <si>
    <t>Google Cloud pricing capture</t>
  </si>
  <si>
    <t>P03_Google_Cloud_Vision_pricing_capture.txt</t>
  </si>
  <si>
    <t>1 EUR = 1.15 USD</t>
  </si>
  <si>
    <t>ECB reference rate (12-month average 1.1588)</t>
  </si>
  <si>
    <t>Production hosting / GPU rental rising (H100 $1.70 → $2.35 per hour)</t>
  </si>
  <si>
    <t>IntuitionLabs, citing SemiAnalysis</t>
  </si>
  <si>
    <t>X03_IntuitionLabs_cloud_GPU_prices.pdf</t>
  </si>
  <si>
    <t>ENISA loan €25–75k, own funds ≥50%</t>
  </si>
  <si>
    <t>ASEST summary (secondary)</t>
  </si>
  <si>
    <t>F02_ENISA_Jovenes_Emprendedores_ASEST_summary.pdf</t>
  </si>
  <si>
    <t>ACCIÓ Startup Capital 75%, max €99k</t>
  </si>
  <si>
    <t>ACCIÓ information sheet, 2024 call</t>
  </si>
  <si>
    <t>F03_ACCIO_Startup_Capital_2024_fitxa_informativa.pdf</t>
  </si>
  <si>
    <t>NEOTEC up to 70%, max €250k (model: €220k)</t>
  </si>
  <si>
    <t>CDTI NEOTEC 2026</t>
  </si>
  <si>
    <t>F01_CDTI_NEOTEC_2026.pdf</t>
  </si>
  <si>
    <t>Corporate tax 15% first two profitable years, then 25%</t>
  </si>
  <si>
    <t>Ley 27/2014 art. 29</t>
  </si>
  <si>
    <t>L02_BOE_Ley_27-2014_IS_art29.pdf</t>
  </si>
  <si>
    <t>Contrato menor: services below €15,000</t>
  </si>
  <si>
    <t>Ley 9/2017 (LCSP) art. 118</t>
  </si>
  <si>
    <t>L01_BOE_Ley_9-2017_LCSP_contrato_menor.pdf</t>
  </si>
  <si>
    <t>Usage cost per check, credits, web-search share</t>
  </si>
  <si>
    <t>Our spend ledger</t>
  </si>
  <si>
    <t>I07_cost_and_accuracy_analysis_ledger.md</t>
  </si>
  <si>
    <t>API list-price table used by our metering</t>
  </si>
  <si>
    <t>pricing.json</t>
  </si>
  <si>
    <t>I02_pricing_ledger_rates.json</t>
  </si>
  <si>
    <t>Accuracy 93–96%, video weakness (Pilot KPIs)</t>
  </si>
  <si>
    <t>Status report v7</t>
  </si>
  <si>
    <t>I01_current_status_report_v7.md</t>
  </si>
  <si>
    <t>Prices, pilots, hiring triggers, salaries</t>
  </si>
  <si>
    <t>Founder decisions, round 1</t>
  </si>
  <si>
    <t>I08_founder_decisions_feedback_round1_HIJ.md</t>
  </si>
  <si>
    <t>Market size, EU PR firms</t>
  </si>
  <si>
    <t>Market study (Viromii for CVC), pp. 25–26</t>
  </si>
  <si>
    <t>I05a_Market_Study_pages_25-26_market_size_and_PR_firms.pdf</t>
  </si>
  <si>
    <t>Forecast inputs (customers, salaries, overheads) are founder assumptions, not external facts; the plan (§7) explains each one.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</si>
</sst>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0.0%"/>
    <numFmt numFmtId="177" formatCode="#,##0;\(#,##0\);\-"/>
    <numFmt numFmtId="178" formatCode="0.0"/>
    <numFmt numFmtId="179" formatCode="0.000"/>
    <numFmt numFmtId="180" formatCode="#,##0.0"/>
    <numFmt numFmtId="181" formatCode="&quot;€&quot;#,##0.00"/>
    <numFmt numFmtId="182" formatCode="&quot;€&quot;#,##0.000"/>
    <numFmt numFmtId="183" formatCode="&quot;€&quot;#,##0"/>
    <numFmt numFmtId="184" formatCode="&quot;€&quot;0.000"/>
    <numFmt numFmtId="185" formatCode="0.0\x"/>
  </numFmts>
  <fonts count="44">
    <font>
      <sz val="11"/>
      <color theme="1"/>
      <name val="Calibri"/>
      <charset val="1"/>
    </font>
    <font>
      <b/>
      <sz val="13"/>
      <name val="Calibri"/>
      <charset val="134"/>
    </font>
    <font>
      <b/>
      <sz val="11"/>
      <color rgb="FFFFFFFF"/>
      <name val="Calibri"/>
      <charset val="134"/>
    </font>
    <font>
      <u/>
      <sz val="11"/>
      <color rgb="FF1F5FBF"/>
      <name val="Calibri"/>
      <charset val="134"/>
    </font>
    <font>
      <b/>
      <sz val="14"/>
      <color rgb="FF007AB5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sz val="10"/>
      <color rgb="FF0000FF"/>
      <name val="Arial"/>
      <charset val="1"/>
    </font>
    <font>
      <sz val="11"/>
      <color rgb="FF0000FF"/>
      <name val="Calibri"/>
      <charset val="134"/>
    </font>
    <font>
      <sz val="11"/>
      <color rgb="FF5A6B7A"/>
      <name val="Calibri"/>
      <charset val="134"/>
    </font>
    <font>
      <b/>
      <sz val="11"/>
      <name val="Calibri"/>
      <charset val="134"/>
    </font>
    <font>
      <sz val="11"/>
      <name val="Calibri"/>
      <charset val="134"/>
    </font>
    <font>
      <sz val="11"/>
      <color rgb="FF008000"/>
      <name val="Calibri"/>
      <charset val="134"/>
    </font>
    <font>
      <sz val="11"/>
      <color rgb="FF000000"/>
      <name val="Calibri"/>
      <charset val="134"/>
    </font>
    <font>
      <b/>
      <sz val="11"/>
      <color rgb="FF008000"/>
      <name val="Calibri"/>
      <charset val="134"/>
    </font>
    <font>
      <b/>
      <sz val="11"/>
      <color rgb="FF000000"/>
      <name val="Calibri"/>
      <charset val="134"/>
    </font>
    <font>
      <b/>
      <sz val="10"/>
      <name val="Arial"/>
      <charset val="1"/>
    </font>
    <font>
      <sz val="10"/>
      <color rgb="FF008000"/>
      <name val="Arial"/>
      <charset val="1"/>
    </font>
    <font>
      <sz val="10"/>
      <color rgb="FF000000"/>
      <name val="Arial"/>
      <charset val="1"/>
    </font>
    <font>
      <b/>
      <sz val="10"/>
      <color rgb="FF000000"/>
      <name val="Arial"/>
      <charset val="1"/>
    </font>
    <font>
      <i/>
      <sz val="9"/>
      <color rgb="FF5A6B7A"/>
      <name val="Arial"/>
      <charset val="1"/>
    </font>
    <font>
      <b/>
      <sz val="10"/>
      <color rgb="FF008000"/>
      <name val="Arial"/>
      <charset val="1"/>
    </font>
    <font>
      <b/>
      <sz val="11"/>
      <color rgb="FF007AB5"/>
      <name val="Calibri"/>
      <charset val="134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007AB5"/>
        <bgColor rgb="FF008080"/>
      </patternFill>
    </fill>
    <fill>
      <patternFill patternType="solid">
        <fgColor rgb="FF007AB5"/>
        <bgColor indexed="64"/>
      </patternFill>
    </fill>
    <fill>
      <patternFill patternType="solid">
        <fgColor rgb="FFE6F1F8"/>
        <bgColor indexed="64"/>
      </patternFill>
    </fill>
    <fill>
      <patternFill patternType="solid">
        <fgColor rgb="FFE6F1F8"/>
        <bgColor rgb="FFFFFFFF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3" fillId="0" borderId="0"/>
    <xf numFmtId="44" fontId="23" fillId="0" borderId="0"/>
    <xf numFmtId="9" fontId="23" fillId="0" borderId="0"/>
    <xf numFmtId="41" fontId="23" fillId="0" borderId="0"/>
    <xf numFmtId="42" fontId="23" fillId="0" borderId="0"/>
    <xf numFmtId="0" fontId="24" fillId="0" borderId="0">
      <alignment vertical="center"/>
    </xf>
    <xf numFmtId="0" fontId="25" fillId="0" borderId="0">
      <alignment vertical="center"/>
    </xf>
    <xf numFmtId="0" fontId="26" fillId="9" borderId="1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30" fillId="0" borderId="2">
      <alignment vertical="center"/>
    </xf>
    <xf numFmtId="0" fontId="31" fillId="0" borderId="2">
      <alignment vertical="center"/>
    </xf>
    <xf numFmtId="0" fontId="32" fillId="0" borderId="3">
      <alignment vertical="center"/>
    </xf>
    <xf numFmtId="0" fontId="32" fillId="0" borderId="0">
      <alignment vertical="center"/>
    </xf>
    <xf numFmtId="0" fontId="33" fillId="10" borderId="4">
      <alignment vertical="center"/>
    </xf>
    <xf numFmtId="0" fontId="34" fillId="11" borderId="5">
      <alignment vertical="center"/>
    </xf>
    <xf numFmtId="0" fontId="35" fillId="11" borderId="4">
      <alignment vertical="center"/>
    </xf>
    <xf numFmtId="0" fontId="36" fillId="12" borderId="6">
      <alignment vertical="center"/>
    </xf>
    <xf numFmtId="0" fontId="37" fillId="0" borderId="7">
      <alignment vertical="center"/>
    </xf>
    <xf numFmtId="0" fontId="38" fillId="0" borderId="8">
      <alignment vertical="center"/>
    </xf>
    <xf numFmtId="0" fontId="39" fillId="13" borderId="0">
      <alignment vertical="center"/>
    </xf>
    <xf numFmtId="0" fontId="40" fillId="14" borderId="0">
      <alignment vertical="center"/>
    </xf>
    <xf numFmtId="0" fontId="41" fillId="15" borderId="0">
      <alignment vertical="center"/>
    </xf>
    <xf numFmtId="0" fontId="42" fillId="16" borderId="0">
      <alignment vertical="center"/>
    </xf>
    <xf numFmtId="0" fontId="43" fillId="17" borderId="0">
      <alignment vertical="center"/>
    </xf>
    <xf numFmtId="0" fontId="43" fillId="18" borderId="0">
      <alignment vertical="center"/>
    </xf>
    <xf numFmtId="0" fontId="42" fillId="19" borderId="0">
      <alignment vertical="center"/>
    </xf>
    <xf numFmtId="0" fontId="42" fillId="20" borderId="0">
      <alignment vertical="center"/>
    </xf>
    <xf numFmtId="0" fontId="43" fillId="21" borderId="0">
      <alignment vertical="center"/>
    </xf>
    <xf numFmtId="0" fontId="43" fillId="22" borderId="0">
      <alignment vertical="center"/>
    </xf>
    <xf numFmtId="0" fontId="42" fillId="23" borderId="0">
      <alignment vertical="center"/>
    </xf>
    <xf numFmtId="0" fontId="42" fillId="24" borderId="0">
      <alignment vertical="center"/>
    </xf>
    <xf numFmtId="0" fontId="43" fillId="25" borderId="0">
      <alignment vertical="center"/>
    </xf>
    <xf numFmtId="0" fontId="43" fillId="26" borderId="0">
      <alignment vertical="center"/>
    </xf>
    <xf numFmtId="0" fontId="42" fillId="27" borderId="0">
      <alignment vertical="center"/>
    </xf>
    <xf numFmtId="0" fontId="42" fillId="28" borderId="0">
      <alignment vertical="center"/>
    </xf>
    <xf numFmtId="0" fontId="43" fillId="29" borderId="0">
      <alignment vertical="center"/>
    </xf>
    <xf numFmtId="0" fontId="43" fillId="30" borderId="0">
      <alignment vertical="center"/>
    </xf>
    <xf numFmtId="0" fontId="42" fillId="31" borderId="0">
      <alignment vertical="center"/>
    </xf>
    <xf numFmtId="0" fontId="42" fillId="32" borderId="0">
      <alignment vertical="center"/>
    </xf>
    <xf numFmtId="0" fontId="43" fillId="33" borderId="0">
      <alignment vertical="center"/>
    </xf>
    <xf numFmtId="0" fontId="43" fillId="34" borderId="0">
      <alignment vertical="center"/>
    </xf>
    <xf numFmtId="0" fontId="42" fillId="35" borderId="0">
      <alignment vertical="center"/>
    </xf>
    <xf numFmtId="0" fontId="42" fillId="36" borderId="0">
      <alignment vertical="center"/>
    </xf>
    <xf numFmtId="0" fontId="43" fillId="37" borderId="0">
      <alignment vertical="center"/>
    </xf>
    <xf numFmtId="0" fontId="43" fillId="38" borderId="0">
      <alignment vertical="center"/>
    </xf>
    <xf numFmtId="0" fontId="42" fillId="39" borderId="0">
      <alignment vertical="center"/>
    </xf>
  </cellStyleXfs>
  <cellXfs count="76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3" borderId="0" xfId="0" applyFont="1" applyFill="1"/>
    <xf numFmtId="0" fontId="6" fillId="0" borderId="0" xfId="0" applyFont="1"/>
    <xf numFmtId="0" fontId="7" fillId="0" borderId="0" xfId="0" applyFont="1"/>
    <xf numFmtId="9" fontId="6" fillId="0" borderId="0" xfId="0" applyNumberFormat="1" applyFont="1"/>
    <xf numFmtId="9" fontId="8" fillId="0" borderId="0" xfId="0" applyNumberFormat="1" applyFont="1"/>
    <xf numFmtId="0" fontId="9" fillId="0" borderId="0" xfId="0" applyFont="1"/>
    <xf numFmtId="9" fontId="0" fillId="0" borderId="0" xfId="0" applyNumberFormat="1"/>
    <xf numFmtId="176" fontId="0" fillId="0" borderId="0" xfId="0" applyNumberFormat="1"/>
    <xf numFmtId="177" fontId="0" fillId="0" borderId="0" xfId="0" applyNumberFormat="1"/>
    <xf numFmtId="0" fontId="10" fillId="0" borderId="0" xfId="0" applyFont="1"/>
    <xf numFmtId="0" fontId="2" fillId="4" borderId="0" xfId="0" applyFont="1" applyFill="1"/>
    <xf numFmtId="0" fontId="11" fillId="0" borderId="0" xfId="0" applyFont="1"/>
    <xf numFmtId="176" fontId="8" fillId="0" borderId="0" xfId="0" applyNumberFormat="1" applyFont="1"/>
    <xf numFmtId="177" fontId="12" fillId="0" borderId="0" xfId="0" applyNumberFormat="1" applyFont="1"/>
    <xf numFmtId="177" fontId="13" fillId="0" borderId="0" xfId="0" applyNumberFormat="1" applyFont="1"/>
    <xf numFmtId="176" fontId="13" fillId="0" borderId="0" xfId="0" applyNumberFormat="1" applyFont="1"/>
    <xf numFmtId="176" fontId="12" fillId="0" borderId="0" xfId="0" applyNumberFormat="1" applyFont="1"/>
    <xf numFmtId="178" fontId="13" fillId="0" borderId="0" xfId="0" applyNumberFormat="1" applyFont="1"/>
    <xf numFmtId="2" fontId="13" fillId="0" borderId="0" xfId="0" applyNumberFormat="1" applyFont="1"/>
    <xf numFmtId="177" fontId="14" fillId="0" borderId="0" xfId="0" applyNumberFormat="1" applyFont="1"/>
    <xf numFmtId="0" fontId="10" fillId="5" borderId="0" xfId="0" applyFont="1" applyFill="1"/>
    <xf numFmtId="177" fontId="15" fillId="5" borderId="0" xfId="0" applyNumberFormat="1" applyFont="1" applyFill="1"/>
    <xf numFmtId="176" fontId="15" fillId="0" borderId="0" xfId="0" applyNumberFormat="1" applyFont="1"/>
    <xf numFmtId="0" fontId="16" fillId="0" borderId="0" xfId="0" applyFont="1"/>
    <xf numFmtId="177" fontId="17" fillId="0" borderId="0" xfId="0" applyNumberFormat="1" applyFont="1"/>
    <xf numFmtId="177" fontId="18" fillId="0" borderId="0" xfId="0" applyNumberFormat="1" applyFont="1"/>
    <xf numFmtId="177" fontId="19" fillId="0" borderId="0" xfId="0" applyNumberFormat="1" applyFont="1"/>
    <xf numFmtId="176" fontId="6" fillId="0" borderId="0" xfId="0" applyNumberFormat="1" applyFont="1"/>
    <xf numFmtId="0" fontId="16" fillId="6" borderId="0" xfId="0" applyFont="1" applyFill="1"/>
    <xf numFmtId="177" fontId="19" fillId="6" borderId="0" xfId="0" applyNumberFormat="1" applyFont="1" applyFill="1"/>
    <xf numFmtId="176" fontId="18" fillId="0" borderId="0" xfId="0" applyNumberFormat="1" applyFont="1"/>
    <xf numFmtId="179" fontId="18" fillId="0" borderId="0" xfId="0" applyNumberFormat="1" applyFont="1"/>
    <xf numFmtId="177" fontId="6" fillId="0" borderId="0" xfId="0" applyNumberFormat="1" applyFont="1"/>
    <xf numFmtId="177" fontId="16" fillId="0" borderId="0" xfId="0" applyNumberFormat="1" applyFont="1"/>
    <xf numFmtId="1" fontId="18" fillId="0" borderId="0" xfId="0" applyNumberFormat="1" applyFont="1"/>
    <xf numFmtId="177" fontId="7" fillId="0" borderId="0" xfId="0" applyNumberFormat="1" applyFont="1"/>
    <xf numFmtId="0" fontId="20" fillId="0" borderId="0" xfId="0" applyFont="1"/>
    <xf numFmtId="177" fontId="8" fillId="0" borderId="0" xfId="0" applyNumberFormat="1" applyFont="1"/>
    <xf numFmtId="1" fontId="7" fillId="0" borderId="0" xfId="0" applyNumberFormat="1" applyFont="1"/>
    <xf numFmtId="1" fontId="19" fillId="0" borderId="0" xfId="0" applyNumberFormat="1" applyFont="1"/>
    <xf numFmtId="180" fontId="18" fillId="0" borderId="0" xfId="0" applyNumberFormat="1" applyFont="1"/>
    <xf numFmtId="177" fontId="21" fillId="0" borderId="0" xfId="0" applyNumberFormat="1" applyFont="1"/>
    <xf numFmtId="181" fontId="8" fillId="0" borderId="0" xfId="0" applyNumberFormat="1" applyFont="1"/>
    <xf numFmtId="181" fontId="0" fillId="0" borderId="0" xfId="0" applyNumberFormat="1"/>
    <xf numFmtId="0" fontId="8" fillId="0" borderId="0" xfId="0" applyFont="1"/>
    <xf numFmtId="182" fontId="8" fillId="0" borderId="0" xfId="0" applyNumberFormat="1" applyFont="1"/>
    <xf numFmtId="183" fontId="0" fillId="0" borderId="0" xfId="0" applyNumberFormat="1"/>
    <xf numFmtId="178" fontId="0" fillId="0" borderId="0" xfId="0" applyNumberFormat="1"/>
    <xf numFmtId="183" fontId="8" fillId="0" borderId="0" xfId="0" applyNumberFormat="1" applyFont="1"/>
    <xf numFmtId="0" fontId="22" fillId="0" borderId="0" xfId="0" applyFont="1"/>
    <xf numFmtId="0" fontId="5" fillId="3" borderId="0" xfId="0" applyFont="1" applyFill="1" applyAlignment="1">
      <alignment vertical="top" wrapText="1"/>
    </xf>
    <xf numFmtId="0" fontId="6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184" fontId="8" fillId="0" borderId="0" xfId="0" applyNumberFormat="1" applyFont="1"/>
    <xf numFmtId="183" fontId="11" fillId="0" borderId="0" xfId="0" applyNumberFormat="1" applyFont="1"/>
    <xf numFmtId="183" fontId="2" fillId="4" borderId="0" xfId="0" applyNumberFormat="1" applyFont="1" applyFill="1"/>
    <xf numFmtId="183" fontId="12" fillId="0" borderId="0" xfId="0" applyNumberFormat="1" applyFont="1"/>
    <xf numFmtId="3" fontId="8" fillId="0" borderId="0" xfId="0" applyNumberFormat="1" applyFont="1"/>
    <xf numFmtId="183" fontId="13" fillId="0" borderId="0" xfId="0" applyNumberFormat="1" applyFont="1"/>
    <xf numFmtId="9" fontId="13" fillId="0" borderId="0" xfId="0" applyNumberFormat="1" applyFont="1"/>
    <xf numFmtId="181" fontId="13" fillId="0" borderId="0" xfId="0" applyNumberFormat="1" applyFont="1"/>
    <xf numFmtId="9" fontId="11" fillId="0" borderId="0" xfId="0" applyNumberFormat="1" applyFont="1"/>
    <xf numFmtId="0" fontId="7" fillId="7" borderId="0" xfId="0" applyFont="1" applyFill="1"/>
    <xf numFmtId="176" fontId="7" fillId="8" borderId="0" xfId="0" applyNumberFormat="1" applyFont="1" applyFill="1"/>
    <xf numFmtId="2" fontId="7" fillId="0" borderId="0" xfId="0" applyNumberFormat="1" applyFont="1"/>
    <xf numFmtId="176" fontId="7" fillId="0" borderId="0" xfId="0" applyNumberFormat="1" applyFont="1"/>
    <xf numFmtId="185" fontId="7" fillId="0" borderId="0" xfId="0" applyNumberFormat="1" applyFont="1"/>
    <xf numFmtId="0" fontId="5" fillId="3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11" fillId="0" borderId="0" xfId="0" applyFont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E6F1F8"/>
      <rgbColor rgb="00660066"/>
      <rgbColor rgb="00FF8080"/>
      <rgbColor rgb="00007AB5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5A6B7A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references/external/X01_ECB_EUR_USD_reference_rate.pdf" TargetMode="External"/><Relationship Id="rId8" Type="http://schemas.openxmlformats.org/officeDocument/2006/relationships/hyperlink" Target="references/external/M17_Vendr_Recorded_Future_pricing_capture.txt" TargetMode="External"/><Relationship Id="rId7" Type="http://schemas.openxmlformats.org/officeDocument/2006/relationships/hyperlink" Target="references/external/M09_TinEye_API_pricing_capture.txt" TargetMode="External"/><Relationship Id="rId6" Type="http://schemas.openxmlformats.org/officeDocument/2006/relationships/hyperlink" Target="references/external/M12_Apify_verify_API.pdf" TargetMode="External"/><Relationship Id="rId5" Type="http://schemas.openxmlformats.org/officeDocument/2006/relationships/hyperlink" Target="references/external/M11_Viralbuster_pricing.pdf" TargetMode="External"/><Relationship Id="rId4" Type="http://schemas.openxmlformats.org/officeDocument/2006/relationships/hyperlink" Target="references/external/M08_iTechGuides_AI_factchecking_tools.pdf" TargetMode="External"/><Relationship Id="rId3" Type="http://schemas.openxmlformats.org/officeDocument/2006/relationships/hyperlink" Target="references/external/M06_Toolradar_Brandwatch.pdf" TargetMode="External"/><Relationship Id="rId2" Type="http://schemas.openxmlformats.org/officeDocument/2006/relationships/hyperlink" Target="references/external/M04b_SpendHound_Cision_pricing.pdf" TargetMode="External"/><Relationship Id="rId1" Type="http://schemas.openxmlformats.org/officeDocument/2006/relationships/hyperlink" Target="references/external/M03_Vendr_Meltwater_pricing_capture.txt" TargetMode="External"/></Relationships>
</file>

<file path=xl/worksheets/_rels/sheet4.xml.rels><?xml version="1.0" encoding="UTF-8" standalone="yes"?>
<Relationships xmlns="http://schemas.openxmlformats.org/package/2006/relationships"><Relationship Id="rId6" Type="http://schemas.openxmlformats.org/officeDocument/2006/relationships/hyperlink" Target="references/external/T03_Fan_et_al_2020_Generating_Fact_Checking_Briefs.pdf" TargetMode="External"/><Relationship Id="rId5" Type="http://schemas.openxmlformats.org/officeDocument/2006/relationships/hyperlink" Target="references/internal/I07_cost_and_accuracy_analysis_ledger.md" TargetMode="External"/><Relationship Id="rId4" Type="http://schemas.openxmlformats.org/officeDocument/2006/relationships/hyperlink" Target="references/external/T08_NiemanLab_2026_Google_Backstory_capture.txt" TargetMode="External"/><Relationship Id="rId3" Type="http://schemas.openxmlformats.org/officeDocument/2006/relationships/hyperlink" Target="references/external/T01_Hassan_et_al_2015_Quest_to_Automate_Fact-Checking.pdf" TargetMode="External"/><Relationship Id="rId2" Type="http://schemas.openxmlformats.org/officeDocument/2006/relationships/hyperlink" Target="references/external/C01_BOE_Orden_PJC_297_2026_cotizacion.pdf" TargetMode="External"/><Relationship Id="rId1" Type="http://schemas.openxmlformats.org/officeDocument/2006/relationships/hyperlink" Target="references/external/C05_INE_EAES2024_hourly_wage_capture.txt" TargetMode="External"/></Relationships>
</file>

<file path=xl/worksheets/_rels/sheet19.xml.rels><?xml version="1.0" encoding="UTF-8" standalone="yes"?>
<Relationships xmlns="http://schemas.openxmlformats.org/package/2006/relationships"><Relationship Id="rId9" Type="http://schemas.openxmlformats.org/officeDocument/2006/relationships/hyperlink" Target="references/external/M06_Toolradar_Brandwatch.pdf" TargetMode="External"/><Relationship Id="rId8" Type="http://schemas.openxmlformats.org/officeDocument/2006/relationships/hyperlink" Target="references/external/M04b_SpendHound_Cision_pricing.pdf" TargetMode="External"/><Relationship Id="rId7" Type="http://schemas.openxmlformats.org/officeDocument/2006/relationships/hyperlink" Target="references/external/M03_Vendr_Meltwater_pricing_capture.txt" TargetMode="External"/><Relationship Id="rId6" Type="http://schemas.openxmlformats.org/officeDocument/2006/relationships/hyperlink" Target="references/external/C01_BOE_Orden_PJC_297_2026_cotizacion.pdf" TargetMode="External"/><Relationship Id="rId5" Type="http://schemas.openxmlformats.org/officeDocument/2006/relationships/hyperlink" Target="references/external/C05_INE_EAES2024_hourly_wage_capture.txt" TargetMode="External"/><Relationship Id="rId4" Type="http://schemas.openxmlformats.org/officeDocument/2006/relationships/hyperlink" Target="references/external/T08_NiemanLab_2026_Google_Backstory_capture.txt" TargetMode="External"/><Relationship Id="rId3" Type="http://schemas.openxmlformats.org/officeDocument/2006/relationships/hyperlink" Target="references/external/T02_Thorne_Vlachos_2018_COLING_AFC_survey.pdf" TargetMode="External"/><Relationship Id="rId29" Type="http://schemas.openxmlformats.org/officeDocument/2006/relationships/hyperlink" Target="references/internal/I05a_Market_Study_pages_25-26_market_size_and_PR_firms.pdf" TargetMode="External"/><Relationship Id="rId28" Type="http://schemas.openxmlformats.org/officeDocument/2006/relationships/hyperlink" Target="references/internal/I08_founder_decisions_feedback_round1_HIJ.md" TargetMode="External"/><Relationship Id="rId27" Type="http://schemas.openxmlformats.org/officeDocument/2006/relationships/hyperlink" Target="references/internal/I01_current_status_report_v7.md" TargetMode="External"/><Relationship Id="rId26" Type="http://schemas.openxmlformats.org/officeDocument/2006/relationships/hyperlink" Target="references/internal/I02_pricing_ledger_rates.json" TargetMode="External"/><Relationship Id="rId25" Type="http://schemas.openxmlformats.org/officeDocument/2006/relationships/hyperlink" Target="references/internal/I07_cost_and_accuracy_analysis_ledger.md" TargetMode="External"/><Relationship Id="rId24" Type="http://schemas.openxmlformats.org/officeDocument/2006/relationships/hyperlink" Target="references/external/L01_BOE_Ley_9-2017_LCSP_contrato_menor.pdf" TargetMode="External"/><Relationship Id="rId23" Type="http://schemas.openxmlformats.org/officeDocument/2006/relationships/hyperlink" Target="references/external/L02_BOE_Ley_27-2014_IS_art29.pdf" TargetMode="External"/><Relationship Id="rId22" Type="http://schemas.openxmlformats.org/officeDocument/2006/relationships/hyperlink" Target="references/external/F01_CDTI_NEOTEC_2026.pdf" TargetMode="External"/><Relationship Id="rId21" Type="http://schemas.openxmlformats.org/officeDocument/2006/relationships/hyperlink" Target="references/external/F03_ACCIO_Startup_Capital_2024_fitxa_informativa.pdf" TargetMode="External"/><Relationship Id="rId20" Type="http://schemas.openxmlformats.org/officeDocument/2006/relationships/hyperlink" Target="references/external/F02_ENISA_Jovenes_Emprendedores_ASEST_summary.pdf" TargetMode="External"/><Relationship Id="rId2" Type="http://schemas.openxmlformats.org/officeDocument/2006/relationships/hyperlink" Target="references/external/T03_Fan_et_al_2020_Generating_Fact_Checking_Briefs.pdf" TargetMode="External"/><Relationship Id="rId19" Type="http://schemas.openxmlformats.org/officeDocument/2006/relationships/hyperlink" Target="references/external/X03_IntuitionLabs_cloud_GPU_prices.pdf" TargetMode="External"/><Relationship Id="rId18" Type="http://schemas.openxmlformats.org/officeDocument/2006/relationships/hyperlink" Target="references/external/X01_ECB_EUR_USD_reference_rate.pdf" TargetMode="External"/><Relationship Id="rId17" Type="http://schemas.openxmlformats.org/officeDocument/2006/relationships/hyperlink" Target="references/external/P03_Google_Cloud_Vision_pricing_capture.txt" TargetMode="External"/><Relationship Id="rId16" Type="http://schemas.openxmlformats.org/officeDocument/2006/relationships/hyperlink" Target="references/external/P02_Brave_Search_API_pricing_capture.txt" TargetMode="External"/><Relationship Id="rId15" Type="http://schemas.openxmlformats.org/officeDocument/2006/relationships/hyperlink" Target="references/external/P01_Google_Gemini_API_pricing_capture.txt" TargetMode="External"/><Relationship Id="rId14" Type="http://schemas.openxmlformats.org/officeDocument/2006/relationships/hyperlink" Target="references/external/M17_Vendr_Recorded_Future_pricing_capture.txt" TargetMode="External"/><Relationship Id="rId13" Type="http://schemas.openxmlformats.org/officeDocument/2006/relationships/hyperlink" Target="references/external/M09_TinEye_API_pricing_capture.txt" TargetMode="External"/><Relationship Id="rId12" Type="http://schemas.openxmlformats.org/officeDocument/2006/relationships/hyperlink" Target="references/external/M12_Apify_verify_API.pdf" TargetMode="External"/><Relationship Id="rId11" Type="http://schemas.openxmlformats.org/officeDocument/2006/relationships/hyperlink" Target="references/external/M11_Viralbuster_pricing.pdf" TargetMode="External"/><Relationship Id="rId10" Type="http://schemas.openxmlformats.org/officeDocument/2006/relationships/hyperlink" Target="references/external/M08_iTechGuides_AI_factchecking_tools.pdf" TargetMode="External"/><Relationship Id="rId1" Type="http://schemas.openxmlformats.org/officeDocument/2006/relationships/hyperlink" Target="references/external/T01_Hassan_et_al_2015_Quest_to_Automate_Fact-Checkin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tabSelected="1" workbookViewId="0">
      <selection activeCell="A1" sqref="A1"/>
    </sheetView>
  </sheetViews>
  <sheetFormatPr defaultColWidth="8.68181818181818" defaultRowHeight="14.5" outlineLevelCol="1"/>
  <cols>
    <col min="1" max="1" width="54" customWidth="1"/>
    <col min="2" max="2" width="110" customWidth="1"/>
    <col min="3" max="6" width="12" customWidth="1"/>
    <col min="7" max="7" width="60" customWidth="1"/>
  </cols>
  <sheetData>
    <row r="1" ht="17.35" customHeight="1" spans="1:2">
      <c r="A1" s="15" t="s">
        <v>0</v>
      </c>
    </row>
    <row r="3" ht="15" customHeight="1" spans="1:2">
      <c r="A3" s="6" t="s">
        <v>1</v>
      </c>
      <c r="B3" s="73" t="s">
        <v>2</v>
      </c>
    </row>
    <row r="4" ht="15" customHeight="1" spans="1:2">
      <c r="A4" s="29" t="s">
        <v>3</v>
      </c>
      <c r="B4" s="74" t="s">
        <v>4</v>
      </c>
    </row>
    <row r="5" ht="15" customHeight="1" spans="1:2">
      <c r="A5" s="29" t="s">
        <v>5</v>
      </c>
      <c r="B5" s="75" t="s">
        <v>6</v>
      </c>
    </row>
    <row r="6" ht="15" customHeight="1" spans="1:2">
      <c r="A6" s="29" t="s">
        <v>7</v>
      </c>
      <c r="B6" s="74" t="s">
        <v>8</v>
      </c>
    </row>
    <row r="7" ht="15" customHeight="1" spans="1:2">
      <c r="A7" s="29" t="s">
        <v>9</v>
      </c>
      <c r="B7" s="74" t="s">
        <v>10</v>
      </c>
    </row>
    <row r="8" ht="15" customHeight="1" spans="1:2">
      <c r="A8" s="29" t="s">
        <v>11</v>
      </c>
      <c r="B8" s="74" t="s">
        <v>12</v>
      </c>
    </row>
    <row r="9" ht="15" customHeight="1" spans="1:2">
      <c r="A9" s="29" t="s">
        <v>13</v>
      </c>
      <c r="B9" s="74" t="s">
        <v>14</v>
      </c>
    </row>
    <row r="10" ht="15" customHeight="1" spans="1:2">
      <c r="A10" s="29" t="s">
        <v>15</v>
      </c>
      <c r="B10" s="74" t="s">
        <v>16</v>
      </c>
    </row>
    <row r="11" ht="15" customHeight="1" spans="1:2">
      <c r="A11" s="29" t="s">
        <v>17</v>
      </c>
      <c r="B11" s="74" t="s">
        <v>18</v>
      </c>
    </row>
    <row r="12" ht="15" customHeight="1" spans="1:2">
      <c r="A12" s="29" t="s">
        <v>19</v>
      </c>
      <c r="B12" s="74" t="s">
        <v>20</v>
      </c>
    </row>
    <row r="13" ht="15" customHeight="1" spans="1:2">
      <c r="A13" s="29" t="s">
        <v>21</v>
      </c>
      <c r="B13" s="74" t="s">
        <v>22</v>
      </c>
    </row>
    <row r="14" ht="15" customHeight="1" spans="1:2">
      <c r="A14" s="29" t="s">
        <v>23</v>
      </c>
      <c r="B14" s="74" t="s">
        <v>24</v>
      </c>
    </row>
    <row r="15" ht="15" customHeight="1" spans="1:2">
      <c r="A15" s="29" t="s">
        <v>25</v>
      </c>
      <c r="B15" s="75" t="s">
        <v>26</v>
      </c>
    </row>
    <row r="16" ht="15" customHeight="1" spans="1:2">
      <c r="A16" s="29" t="s">
        <v>27</v>
      </c>
      <c r="B16" s="74" t="s">
        <v>28</v>
      </c>
    </row>
    <row r="17" ht="15" customHeight="1" spans="1:2">
      <c r="A17" s="29" t="s">
        <v>29</v>
      </c>
      <c r="B17" s="74" t="s">
        <v>30</v>
      </c>
    </row>
    <row r="18" ht="15" customHeight="1" spans="1:2">
      <c r="A18" s="29" t="s">
        <v>31</v>
      </c>
      <c r="B18" s="74" t="s">
        <v>32</v>
      </c>
    </row>
    <row r="19" ht="15" customHeight="1" spans="1:2">
      <c r="A19" s="17" t="s">
        <v>33</v>
      </c>
      <c r="B19" s="75" t="s">
        <v>34</v>
      </c>
    </row>
    <row r="20" ht="15" customHeight="1" spans="1:2">
      <c r="A20" s="3" t="s">
        <v>35</v>
      </c>
      <c r="B20" t="s">
        <v>36</v>
      </c>
    </row>
    <row r="21" ht="15" customHeight="1" spans="1:2">
      <c r="A21" s="3" t="s">
        <v>37</v>
      </c>
      <c r="B21" t="s">
        <v>38</v>
      </c>
    </row>
    <row r="22" ht="23.85" customHeight="1" spans="1:2">
      <c r="A22" s="29" t="s">
        <v>39</v>
      </c>
      <c r="B22" s="74" t="s">
        <v>40</v>
      </c>
    </row>
    <row r="23" spans="1:2">
      <c r="A23" s="29" t="s">
        <v>41</v>
      </c>
      <c r="B23" s="74" t="s">
        <v>42</v>
      </c>
    </row>
    <row r="24" ht="58" customHeight="1" spans="1:2">
      <c r="A24" s="29" t="s">
        <v>43</v>
      </c>
      <c r="B24" s="75" t="s">
        <v>44</v>
      </c>
    </row>
  </sheetData>
  <pageMargins left="0.75" right="0.75" top="1" bottom="1" header="0.511811023622047" footer="0.511811023622047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workbookViewId="0">
      <pane xSplit="1" ySplit="3" topLeftCell="B4" activePane="bottomRight" state="frozen"/>
      <selection/>
      <selection pane="topRight"/>
      <selection pane="bottomLeft"/>
      <selection pane="bottomRight" activeCell="A1" sqref="A1"/>
    </sheetView>
  </sheetViews>
  <sheetFormatPr defaultColWidth="8.68181818181818" defaultRowHeight="14.5" outlineLevelCol="5"/>
  <cols>
    <col min="1" max="1" width="54" customWidth="1"/>
    <col min="2" max="6" width="12" customWidth="1"/>
    <col min="7" max="7" width="60" customWidth="1"/>
  </cols>
  <sheetData>
    <row r="1" ht="17.35" customHeight="1" spans="1:3">
      <c r="A1" s="5" t="s">
        <v>45</v>
      </c>
    </row>
    <row r="2" ht="15" customHeight="1" spans="1:3">
      <c r="A2" s="42" t="s">
        <v>46</v>
      </c>
    </row>
    <row r="4" ht="15" customHeight="1" spans="1:3">
      <c r="A4" t="s">
        <v>47</v>
      </c>
      <c r="B4" s="68">
        <v>2</v>
      </c>
      <c r="C4" s="29" t="str">
        <f>CHOOSE(B4,"Downside","Base","Upside")</f>
        <v>Base</v>
      </c>
    </row>
    <row r="7" ht="15" customHeight="1" spans="1:3">
      <c r="A7" s="7" t="s">
        <v>48</v>
      </c>
      <c r="B7" s="41">
        <v>5.24</v>
      </c>
      <c r="C7" s="11" t="s">
        <v>49</v>
      </c>
    </row>
    <row r="8" ht="15" customHeight="1" spans="1:3">
      <c r="A8" s="7" t="s">
        <v>50</v>
      </c>
      <c r="B8" s="41">
        <v>14.3</v>
      </c>
      <c r="C8" s="11" t="s">
        <v>51</v>
      </c>
    </row>
    <row r="9" ht="15" customHeight="1" spans="1:3">
      <c r="A9" s="7" t="s">
        <v>52</v>
      </c>
      <c r="B9" s="41">
        <v>30</v>
      </c>
      <c r="C9" s="42" t="s">
        <v>53</v>
      </c>
    </row>
    <row r="10" ht="15" customHeight="1" spans="1:3">
      <c r="A10" s="7" t="s">
        <v>54</v>
      </c>
      <c r="B10" s="41">
        <v>5</v>
      </c>
      <c r="C10" s="42" t="s">
        <v>55</v>
      </c>
    </row>
    <row r="11" ht="15" customHeight="1" spans="1:3">
      <c r="A11" s="7" t="s">
        <v>56</v>
      </c>
      <c r="B11" s="41">
        <v>13</v>
      </c>
      <c r="C11" s="11" t="s">
        <v>57</v>
      </c>
    </row>
    <row r="12" ht="15" customHeight="1" spans="1:3">
      <c r="A12" s="7" t="s">
        <v>58</v>
      </c>
      <c r="B12" s="69">
        <v>0.02</v>
      </c>
      <c r="C12" s="42" t="s">
        <v>59</v>
      </c>
    </row>
    <row r="13" ht="15" customHeight="1" spans="1:3">
      <c r="A13" s="17" t="s">
        <v>60</v>
      </c>
      <c r="B13" s="18">
        <v>0.15</v>
      </c>
      <c r="C13" s="11" t="s">
        <v>61</v>
      </c>
    </row>
    <row r="14" ht="15" customHeight="1" spans="1:3">
      <c r="A14" s="17" t="s">
        <v>62</v>
      </c>
      <c r="B14" s="18">
        <v>0.15</v>
      </c>
      <c r="C14" s="11" t="s">
        <v>63</v>
      </c>
    </row>
    <row r="15" ht="15" customHeight="1" spans="1:3">
      <c r="A15" s="17" t="s">
        <v>64</v>
      </c>
      <c r="B15" s="18">
        <v>0.1</v>
      </c>
      <c r="C15" s="11" t="s">
        <v>65</v>
      </c>
    </row>
    <row r="16" ht="15" customHeight="1" spans="1:3">
      <c r="A16" s="17" t="s">
        <v>66</v>
      </c>
      <c r="B16" s="18">
        <v>0.25</v>
      </c>
      <c r="C16" s="11" t="s">
        <v>67</v>
      </c>
    </row>
    <row r="17" ht="15" customHeight="1" spans="1:6">
      <c r="A17" s="17" t="s">
        <v>68</v>
      </c>
      <c r="B17" s="18">
        <v>0.02</v>
      </c>
      <c r="C17" s="11" t="s">
        <v>69</v>
      </c>
    </row>
    <row r="18" ht="15" customHeight="1" spans="1:6">
      <c r="A18" s="7" t="s">
        <v>70</v>
      </c>
      <c r="B18" s="70">
        <v>1.31</v>
      </c>
      <c r="C18" t="s">
        <v>71</v>
      </c>
    </row>
    <row r="19" ht="15" customHeight="1" spans="1:6">
      <c r="A19" s="7" t="s">
        <v>72</v>
      </c>
      <c r="B19" s="41">
        <v>20</v>
      </c>
      <c r="C19" t="s">
        <v>73</v>
      </c>
    </row>
    <row r="20" ht="15" customHeight="1" spans="1:6">
      <c r="A20" s="7" t="s">
        <v>74</v>
      </c>
      <c r="B20" s="41">
        <v>30</v>
      </c>
    </row>
    <row r="21" ht="15" customHeight="1" spans="1:6">
      <c r="A21" s="7" t="s">
        <v>75</v>
      </c>
      <c r="B21" s="71">
        <v>0.06</v>
      </c>
    </row>
    <row r="22" ht="15" customHeight="1" spans="1:6">
      <c r="A22" s="7" t="s">
        <v>76</v>
      </c>
      <c r="B22" s="41">
        <v>4</v>
      </c>
    </row>
    <row r="23" ht="15" customHeight="1" spans="1:6">
      <c r="A23" s="7" t="s">
        <v>77</v>
      </c>
      <c r="B23" s="71">
        <v>0.15</v>
      </c>
      <c r="C23" s="42" t="s">
        <v>78</v>
      </c>
    </row>
    <row r="24" ht="15" customHeight="1" spans="1:6">
      <c r="A24" s="7" t="s">
        <v>79</v>
      </c>
      <c r="B24" s="71">
        <v>0.25</v>
      </c>
    </row>
    <row r="25" ht="15" customHeight="1" spans="1:6">
      <c r="A25" s="7" t="s">
        <v>80</v>
      </c>
      <c r="B25" s="41">
        <v>2</v>
      </c>
    </row>
    <row r="26" ht="15" customHeight="1" spans="1:6">
      <c r="A26" s="7" t="s">
        <v>81</v>
      </c>
      <c r="B26" s="71">
        <v>0.3</v>
      </c>
    </row>
    <row r="27" ht="15" customHeight="1" spans="1:6">
      <c r="A27" s="7" t="s">
        <v>82</v>
      </c>
      <c r="B27" s="72">
        <v>4</v>
      </c>
    </row>
    <row r="28" spans="1:6">
      <c r="A28" s="17" t="s">
        <v>83</v>
      </c>
      <c r="B28" s="18">
        <v>0.04</v>
      </c>
      <c r="C28" s="11" t="s">
        <v>84</v>
      </c>
    </row>
    <row r="29" ht="15" customHeight="1" spans="1:6">
      <c r="A29" s="29" t="s">
        <v>85</v>
      </c>
    </row>
    <row r="30" ht="15" customHeight="1" spans="1:6">
      <c r="A30" s="6" t="s">
        <v>86</v>
      </c>
      <c r="B30" s="6" t="s">
        <v>87</v>
      </c>
      <c r="C30" s="6" t="s">
        <v>88</v>
      </c>
      <c r="D30" s="6" t="s">
        <v>89</v>
      </c>
      <c r="E30" s="6" t="s">
        <v>90</v>
      </c>
      <c r="F30" s="6" t="s">
        <v>91</v>
      </c>
    </row>
    <row r="31" ht="15" customHeight="1" spans="1:6">
      <c r="A31" s="29" t="s">
        <v>92</v>
      </c>
    </row>
    <row r="32" ht="15" customHeight="1" spans="1:6">
      <c r="A32" s="7" t="s">
        <v>93</v>
      </c>
      <c r="B32" s="41">
        <v>4</v>
      </c>
      <c r="C32" s="41">
        <v>10</v>
      </c>
      <c r="D32" s="41">
        <v>20</v>
      </c>
      <c r="E32" s="41">
        <v>32</v>
      </c>
      <c r="F32" s="41">
        <v>45</v>
      </c>
    </row>
    <row r="33" ht="15" customHeight="1" spans="1:6">
      <c r="A33" s="7" t="s">
        <v>94</v>
      </c>
      <c r="B33" s="41">
        <v>3</v>
      </c>
      <c r="C33" s="41">
        <v>2</v>
      </c>
      <c r="D33" s="41">
        <v>4</v>
      </c>
      <c r="E33" s="41">
        <v>2</v>
      </c>
      <c r="F33" s="41">
        <v>3</v>
      </c>
    </row>
    <row r="34" ht="15" customHeight="1" spans="1:6">
      <c r="A34" s="7" t="s">
        <v>95</v>
      </c>
      <c r="B34" s="41">
        <v>1</v>
      </c>
      <c r="C34" s="41">
        <v>5</v>
      </c>
      <c r="D34" s="41">
        <v>10</v>
      </c>
      <c r="E34" s="41">
        <v>16</v>
      </c>
      <c r="F34" s="41">
        <v>24</v>
      </c>
    </row>
    <row r="35" ht="15" customHeight="1" spans="1:6">
      <c r="A35" s="7" t="s">
        <v>96</v>
      </c>
      <c r="B35" s="41">
        <v>0</v>
      </c>
      <c r="C35" s="41">
        <v>0</v>
      </c>
      <c r="D35" s="41">
        <v>1</v>
      </c>
      <c r="E35" s="41">
        <v>3</v>
      </c>
      <c r="F35" s="41">
        <v>5</v>
      </c>
    </row>
    <row r="36" ht="15" customHeight="1" spans="1:6">
      <c r="A36" s="7" t="s">
        <v>97</v>
      </c>
      <c r="B36" s="41">
        <v>0</v>
      </c>
      <c r="C36" s="41">
        <v>5</v>
      </c>
      <c r="D36" s="41">
        <v>20</v>
      </c>
      <c r="E36" s="41">
        <v>45</v>
      </c>
      <c r="F36" s="41">
        <v>80</v>
      </c>
    </row>
    <row r="37" ht="15" customHeight="1" spans="1:6">
      <c r="A37" s="29" t="s">
        <v>98</v>
      </c>
    </row>
    <row r="38" ht="15" customHeight="1" spans="1:6">
      <c r="A38" s="7" t="s">
        <v>93</v>
      </c>
      <c r="B38" s="41">
        <v>8</v>
      </c>
      <c r="C38" s="41">
        <v>20</v>
      </c>
      <c r="D38" s="41">
        <v>35</v>
      </c>
      <c r="E38" s="41">
        <v>55</v>
      </c>
      <c r="F38" s="41">
        <v>80</v>
      </c>
    </row>
    <row r="39" ht="15" customHeight="1" spans="1:6">
      <c r="A39" s="7" t="s">
        <v>94</v>
      </c>
      <c r="B39" s="41">
        <v>3</v>
      </c>
      <c r="C39" s="41">
        <v>2</v>
      </c>
      <c r="D39" s="41">
        <v>4</v>
      </c>
      <c r="E39" s="41">
        <v>2</v>
      </c>
      <c r="F39" s="41">
        <v>3</v>
      </c>
    </row>
    <row r="40" ht="15" customHeight="1" spans="1:6">
      <c r="A40" s="7" t="s">
        <v>95</v>
      </c>
      <c r="B40" s="41">
        <v>3</v>
      </c>
      <c r="C40" s="41">
        <v>10</v>
      </c>
      <c r="D40" s="41">
        <v>20</v>
      </c>
      <c r="E40" s="41">
        <v>32</v>
      </c>
      <c r="F40" s="41">
        <v>48</v>
      </c>
    </row>
    <row r="41" ht="15" customHeight="1" spans="1:6">
      <c r="A41" s="7" t="s">
        <v>96</v>
      </c>
      <c r="B41" s="41">
        <v>0</v>
      </c>
      <c r="C41" s="41">
        <v>1</v>
      </c>
      <c r="D41" s="41">
        <v>3</v>
      </c>
      <c r="E41" s="41">
        <v>6</v>
      </c>
      <c r="F41" s="41">
        <v>10</v>
      </c>
    </row>
    <row r="42" ht="15" customHeight="1" spans="1:6">
      <c r="A42" s="7" t="s">
        <v>97</v>
      </c>
      <c r="B42" s="41">
        <v>0</v>
      </c>
      <c r="C42" s="41">
        <v>15</v>
      </c>
      <c r="D42" s="41">
        <v>50</v>
      </c>
      <c r="E42" s="41">
        <v>110</v>
      </c>
      <c r="F42" s="41">
        <v>200</v>
      </c>
    </row>
    <row r="43" ht="15" customHeight="1" spans="1:6">
      <c r="A43" s="29" t="s">
        <v>99</v>
      </c>
    </row>
    <row r="44" ht="15" customHeight="1" spans="1:6">
      <c r="A44" s="7" t="s">
        <v>93</v>
      </c>
      <c r="B44" s="41">
        <v>12</v>
      </c>
      <c r="C44" s="41">
        <v>30</v>
      </c>
      <c r="D44" s="41">
        <v>52</v>
      </c>
      <c r="E44" s="41">
        <v>80</v>
      </c>
      <c r="F44" s="41">
        <v>115</v>
      </c>
    </row>
    <row r="45" ht="15" customHeight="1" spans="1:6">
      <c r="A45" s="7" t="s">
        <v>94</v>
      </c>
      <c r="B45" s="41">
        <v>3</v>
      </c>
      <c r="C45" s="41">
        <v>2</v>
      </c>
      <c r="D45" s="41">
        <v>4</v>
      </c>
      <c r="E45" s="41">
        <v>2</v>
      </c>
      <c r="F45" s="41">
        <v>3</v>
      </c>
    </row>
    <row r="46" ht="15" customHeight="1" spans="1:6">
      <c r="A46" s="7" t="s">
        <v>95</v>
      </c>
      <c r="B46" s="41">
        <v>5</v>
      </c>
      <c r="C46" s="41">
        <v>18</v>
      </c>
      <c r="D46" s="41">
        <v>35</v>
      </c>
      <c r="E46" s="41">
        <v>55</v>
      </c>
      <c r="F46" s="41">
        <v>75</v>
      </c>
    </row>
    <row r="47" ht="15" customHeight="1" spans="1:6">
      <c r="A47" s="7" t="s">
        <v>96</v>
      </c>
      <c r="B47" s="41">
        <v>0</v>
      </c>
      <c r="C47" s="41">
        <v>2</v>
      </c>
      <c r="D47" s="41">
        <v>5</v>
      </c>
      <c r="E47" s="41">
        <v>9</v>
      </c>
      <c r="F47" s="41">
        <v>14</v>
      </c>
    </row>
    <row r="48" ht="15" customHeight="1" spans="1:6">
      <c r="A48" s="7" t="s">
        <v>97</v>
      </c>
      <c r="B48" s="41">
        <v>0</v>
      </c>
      <c r="C48" s="41">
        <v>25</v>
      </c>
      <c r="D48" s="41">
        <v>80</v>
      </c>
      <c r="E48" s="41">
        <v>170</v>
      </c>
      <c r="F48" s="41">
        <v>300</v>
      </c>
    </row>
    <row r="49" ht="15" customHeight="1" spans="1:6">
      <c r="A49" s="29" t="s">
        <v>100</v>
      </c>
    </row>
    <row r="50" ht="15" customHeight="1" spans="1:6">
      <c r="A50" s="34" t="s">
        <v>93</v>
      </c>
      <c r="B50" s="35">
        <f>CHOOSE($B$4,B32,B38,B44)</f>
        <v>8</v>
      </c>
      <c r="C50" s="35">
        <f>CHOOSE($B$4,C32,C38,C44)</f>
        <v>20</v>
      </c>
      <c r="D50" s="35">
        <f>CHOOSE($B$4,D32,D38,D44)</f>
        <v>35</v>
      </c>
      <c r="E50" s="35">
        <f>CHOOSE($B$4,E32,E38,E44)</f>
        <v>55</v>
      </c>
      <c r="F50" s="35">
        <f>CHOOSE($B$4,F32,F38,F44)</f>
        <v>80</v>
      </c>
    </row>
    <row r="51" ht="15" customHeight="1" spans="1:6">
      <c r="A51" s="34" t="s">
        <v>94</v>
      </c>
      <c r="B51" s="35">
        <f>CHOOSE($B$4,B33,B39,B45)</f>
        <v>3</v>
      </c>
      <c r="C51" s="35">
        <f>CHOOSE($B$4,C33,C39,C45)</f>
        <v>2</v>
      </c>
      <c r="D51" s="35">
        <f>CHOOSE($B$4,D33,D39,D45)</f>
        <v>4</v>
      </c>
      <c r="E51" s="35">
        <f>CHOOSE($B$4,E33,E39,E45)</f>
        <v>2</v>
      </c>
      <c r="F51" s="35">
        <f>CHOOSE($B$4,F33,F39,F45)</f>
        <v>3</v>
      </c>
    </row>
    <row r="52" ht="15" customHeight="1" spans="1:6">
      <c r="A52" s="34" t="s">
        <v>95</v>
      </c>
      <c r="B52" s="35">
        <f>CHOOSE($B$4,B34,B40,B46)</f>
        <v>3</v>
      </c>
      <c r="C52" s="35">
        <f>CHOOSE($B$4,C34,C40,C46)</f>
        <v>10</v>
      </c>
      <c r="D52" s="35">
        <f>CHOOSE($B$4,D34,D40,D46)</f>
        <v>20</v>
      </c>
      <c r="E52" s="35">
        <f>CHOOSE($B$4,E34,E40,E46)</f>
        <v>32</v>
      </c>
      <c r="F52" s="35">
        <f>CHOOSE($B$4,F34,F40,F46)</f>
        <v>48</v>
      </c>
    </row>
    <row r="53" ht="15" customHeight="1" spans="1:6">
      <c r="A53" s="34" t="s">
        <v>96</v>
      </c>
      <c r="B53" s="35">
        <f>CHOOSE($B$4,B35,B41,B47)</f>
        <v>0</v>
      </c>
      <c r="C53" s="35">
        <f>CHOOSE($B$4,C35,C41,C47)</f>
        <v>1</v>
      </c>
      <c r="D53" s="35">
        <f>CHOOSE($B$4,D35,D41,D47)</f>
        <v>3</v>
      </c>
      <c r="E53" s="35">
        <f>CHOOSE($B$4,E35,E41,E47)</f>
        <v>6</v>
      </c>
      <c r="F53" s="35">
        <f>CHOOSE($B$4,F35,F41,F47)</f>
        <v>10</v>
      </c>
    </row>
    <row r="54" ht="15" customHeight="1" spans="1:6">
      <c r="A54" s="34" t="s">
        <v>97</v>
      </c>
      <c r="B54" s="35">
        <f>CHOOSE($B$4,B36,B42,B48)</f>
        <v>0</v>
      </c>
      <c r="C54" s="35">
        <f>CHOOSE($B$4,C36,C42,C48)</f>
        <v>15</v>
      </c>
      <c r="D54" s="35">
        <f>CHOOSE($B$4,D36,D42,D48)</f>
        <v>50</v>
      </c>
      <c r="E54" s="35">
        <f>CHOOSE($B$4,E36,E42,E48)</f>
        <v>110</v>
      </c>
      <c r="F54" s="35">
        <f>CHOOSE($B$4,F36,F42,F48)</f>
        <v>200</v>
      </c>
    </row>
  </sheetData>
  <pageMargins left="0.75" right="0.75" top="1" bottom="1" header="0.511811023622047" footer="0.511811023622047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workbookViewId="0">
      <selection activeCell="A1" sqref="A1"/>
    </sheetView>
  </sheetViews>
  <sheetFormatPr defaultColWidth="8.68181818181818" defaultRowHeight="14.5" outlineLevelCol="6"/>
  <cols>
    <col min="1" max="1" width="34" customWidth="1"/>
    <col min="2" max="2" width="60" customWidth="1"/>
    <col min="3" max="3" width="30" customWidth="1"/>
    <col min="4" max="4" width="60" customWidth="1"/>
  </cols>
  <sheetData>
    <row r="1" ht="17.35" customHeight="1" spans="1:7">
      <c r="A1" s="55" t="s">
        <v>101</v>
      </c>
    </row>
    <row r="3" ht="15" customHeight="1" spans="1:7">
      <c r="A3" s="56" t="s">
        <v>102</v>
      </c>
      <c r="B3" s="56" t="s">
        <v>103</v>
      </c>
      <c r="C3" s="56" t="s">
        <v>104</v>
      </c>
      <c r="D3" s="56" t="s">
        <v>105</v>
      </c>
    </row>
    <row r="4" ht="23.85" customHeight="1" spans="1:7">
      <c r="A4" s="57" t="s">
        <v>106</v>
      </c>
      <c r="B4" s="58" t="s">
        <v>107</v>
      </c>
      <c r="C4" s="57" t="s">
        <v>108</v>
      </c>
      <c r="D4" s="4" t="s">
        <v>109</v>
      </c>
    </row>
    <row r="5" ht="15" customHeight="1" spans="1:7">
      <c r="A5" s="57" t="s">
        <v>110</v>
      </c>
      <c r="B5" s="57" t="s">
        <v>111</v>
      </c>
      <c r="C5" s="57" t="s">
        <v>108</v>
      </c>
      <c r="D5" s="4" t="s">
        <v>112</v>
      </c>
    </row>
    <row r="6" ht="15" customHeight="1" spans="1:7">
      <c r="A6" s="57" t="s">
        <v>113</v>
      </c>
      <c r="B6" s="57" t="s">
        <v>114</v>
      </c>
      <c r="C6" s="57" t="s">
        <v>115</v>
      </c>
      <c r="D6" s="4" t="s">
        <v>116</v>
      </c>
    </row>
    <row r="7" ht="15" customHeight="1" spans="1:7">
      <c r="A7" s="57" t="s">
        <v>117</v>
      </c>
      <c r="B7" s="57" t="s">
        <v>118</v>
      </c>
      <c r="C7" s="57" t="s">
        <v>119</v>
      </c>
      <c r="D7" s="57" t="s">
        <v>120</v>
      </c>
    </row>
    <row r="8" ht="15" customHeight="1" spans="1:7">
      <c r="A8" s="57" t="s">
        <v>121</v>
      </c>
      <c r="B8" s="57" t="s">
        <v>122</v>
      </c>
      <c r="C8" s="57" t="s">
        <v>123</v>
      </c>
      <c r="D8" s="4" t="s">
        <v>124</v>
      </c>
    </row>
    <row r="9" ht="15" customHeight="1" spans="1:7">
      <c r="A9" s="57" t="s">
        <v>125</v>
      </c>
      <c r="B9" s="57" t="s">
        <v>126</v>
      </c>
      <c r="C9" s="57" t="s">
        <v>127</v>
      </c>
      <c r="D9" s="4" t="s">
        <v>128</v>
      </c>
    </row>
    <row r="10" ht="15" customHeight="1" spans="1:7">
      <c r="A10" s="57" t="s">
        <v>129</v>
      </c>
      <c r="B10" s="57" t="s">
        <v>130</v>
      </c>
      <c r="C10" s="57" t="s">
        <v>131</v>
      </c>
      <c r="D10" s="4" t="s">
        <v>132</v>
      </c>
    </row>
    <row r="11" ht="15" customHeight="1" spans="1:7">
      <c r="A11" s="57" t="s">
        <v>133</v>
      </c>
      <c r="B11" s="57" t="s">
        <v>134</v>
      </c>
      <c r="C11" s="57" t="s">
        <v>135</v>
      </c>
      <c r="D11" s="4" t="s">
        <v>136</v>
      </c>
    </row>
    <row r="12" ht="15" customHeight="1" spans="1:7">
      <c r="A12" s="57" t="s">
        <v>137</v>
      </c>
      <c r="B12" s="57" t="s">
        <v>138</v>
      </c>
      <c r="C12" s="57" t="s">
        <v>139</v>
      </c>
      <c r="D12" s="4" t="s">
        <v>140</v>
      </c>
    </row>
    <row r="13" spans="1:7">
      <c r="A13" s="17" t="s">
        <v>141</v>
      </c>
      <c r="B13" s="17" t="s">
        <v>142</v>
      </c>
      <c r="C13" s="17" t="s">
        <v>143</v>
      </c>
      <c r="D13" s="17" t="s">
        <v>144</v>
      </c>
    </row>
    <row r="14" spans="1:7">
      <c r="A14" s="17" t="s">
        <v>145</v>
      </c>
      <c r="B14" s="17" t="s">
        <v>146</v>
      </c>
      <c r="C14" s="17" t="s">
        <v>147</v>
      </c>
      <c r="D14" s="17" t="s">
        <v>148</v>
      </c>
    </row>
    <row r="15" ht="15" customHeight="1" spans="1:7">
      <c r="A15" s="7" t="s">
        <v>149</v>
      </c>
      <c r="B15" s="7"/>
      <c r="C15" s="7"/>
      <c r="D15" s="4" t="s">
        <v>150</v>
      </c>
      <c r="E15" s="7"/>
      <c r="F15" s="7"/>
      <c r="G15" s="7"/>
    </row>
    <row r="16" ht="15" customHeight="1" spans="1:7">
      <c r="A16" s="7"/>
      <c r="B16" s="7"/>
      <c r="C16" s="7"/>
      <c r="D16" s="7"/>
      <c r="E16" s="7"/>
      <c r="F16" s="7"/>
      <c r="G16" s="7"/>
    </row>
    <row r="17" ht="15" customHeight="1" spans="1:7">
      <c r="A17" s="15" t="s">
        <v>151</v>
      </c>
      <c r="B17" s="17"/>
      <c r="C17" s="17"/>
      <c r="D17" s="17"/>
      <c r="E17" s="17"/>
      <c r="F17" s="17"/>
      <c r="G17" s="17"/>
    </row>
    <row r="18" ht="15" customHeight="1" spans="1:7">
      <c r="A18" s="16" t="s">
        <v>152</v>
      </c>
      <c r="B18" s="16" t="s">
        <v>153</v>
      </c>
      <c r="C18" s="16" t="s">
        <v>154</v>
      </c>
      <c r="D18" s="16" t="s">
        <v>155</v>
      </c>
      <c r="E18" s="16" t="s">
        <v>156</v>
      </c>
      <c r="F18" s="16" t="s">
        <v>157</v>
      </c>
      <c r="G18" s="17"/>
    </row>
    <row r="19" ht="15" customHeight="1" spans="1:7">
      <c r="A19" s="17" t="s">
        <v>158</v>
      </c>
      <c r="B19" s="59">
        <v>0.09</v>
      </c>
      <c r="C19" s="10">
        <v>0.92</v>
      </c>
      <c r="D19" s="59">
        <v>0.009</v>
      </c>
      <c r="E19" s="59">
        <v>1</v>
      </c>
      <c r="F19" s="11" t="s">
        <v>159</v>
      </c>
      <c r="G19" s="17"/>
    </row>
    <row r="20" ht="15" customHeight="1" spans="1:7">
      <c r="A20" s="17" t="s">
        <v>160</v>
      </c>
      <c r="B20" s="59">
        <v>0.17</v>
      </c>
      <c r="C20" s="10">
        <v>0.93</v>
      </c>
      <c r="D20" s="59">
        <v>0.02</v>
      </c>
      <c r="E20" s="59">
        <v>2</v>
      </c>
      <c r="F20" s="11" t="s">
        <v>161</v>
      </c>
      <c r="G20" s="17"/>
    </row>
    <row r="21" ht="15" customHeight="1" spans="1:7">
      <c r="A21" s="17" t="s">
        <v>162</v>
      </c>
      <c r="B21" s="59">
        <v>0.1</v>
      </c>
      <c r="C21" s="10">
        <v>0.9</v>
      </c>
      <c r="D21" s="59">
        <v>0.01</v>
      </c>
      <c r="E21" s="59">
        <v>1</v>
      </c>
      <c r="F21" s="11" t="s">
        <v>163</v>
      </c>
      <c r="G21" s="17"/>
    </row>
    <row r="22" ht="15" customHeight="1" spans="1:7">
      <c r="A22" s="17" t="s">
        <v>164</v>
      </c>
      <c r="B22" s="59">
        <v>0.004</v>
      </c>
      <c r="C22" s="10">
        <v>0</v>
      </c>
      <c r="D22" s="59">
        <v>0.004</v>
      </c>
      <c r="E22" s="50">
        <v>0</v>
      </c>
      <c r="F22" s="11" t="s">
        <v>165</v>
      </c>
      <c r="G22" s="17"/>
    </row>
    <row r="23" ht="15" customHeight="1" spans="1:7">
      <c r="A23" s="15" t="s">
        <v>166</v>
      </c>
      <c r="B23" s="59">
        <v>0.12</v>
      </c>
      <c r="C23" s="17"/>
      <c r="D23" s="60"/>
      <c r="E23" s="17"/>
      <c r="F23" s="17"/>
      <c r="G23" s="17"/>
    </row>
    <row r="24" ht="15" customHeight="1" spans="1:7">
      <c r="A24" s="17" t="s">
        <v>167</v>
      </c>
      <c r="B24" s="59">
        <v>0.04</v>
      </c>
      <c r="C24" s="17"/>
      <c r="D24" s="60"/>
      <c r="E24" s="17"/>
      <c r="F24" s="17"/>
      <c r="G24" s="17"/>
    </row>
    <row r="25" ht="15" customHeight="1" spans="1:7">
      <c r="A25" s="17"/>
      <c r="B25" s="17"/>
      <c r="C25" s="17"/>
      <c r="D25" s="60"/>
      <c r="E25" s="17"/>
      <c r="F25" s="17"/>
      <c r="G25" s="17"/>
    </row>
    <row r="26" ht="15" customHeight="1" spans="1:7">
      <c r="A26" s="16" t="s">
        <v>168</v>
      </c>
      <c r="B26" s="16" t="s">
        <v>169</v>
      </c>
      <c r="C26" s="16" t="s">
        <v>170</v>
      </c>
      <c r="D26" s="61" t="s">
        <v>171</v>
      </c>
      <c r="E26" s="16" t="s">
        <v>172</v>
      </c>
      <c r="F26" s="16" t="s">
        <v>173</v>
      </c>
      <c r="G26" s="16" t="s">
        <v>174</v>
      </c>
    </row>
    <row r="27" spans="1:7">
      <c r="A27" s="17" t="s">
        <v>175</v>
      </c>
      <c r="B27" s="62">
        <f>Assumptions!B7*1000/12</f>
        <v>436.666666666667</v>
      </c>
      <c r="C27" s="63">
        <v>600</v>
      </c>
      <c r="D27" s="54">
        <v>0</v>
      </c>
      <c r="E27" s="64">
        <f>C27*$B$23+D27</f>
        <v>72</v>
      </c>
      <c r="F27" s="65">
        <f>E27/B27</f>
        <v>0.164885496183206</v>
      </c>
      <c r="G27" s="65">
        <f>1-F27-Assumptions!$B$12-Assumptions!$B$17</f>
        <v>0.795114503816794</v>
      </c>
    </row>
    <row r="28" spans="1:7">
      <c r="A28" s="17"/>
      <c r="B28" s="54"/>
      <c r="C28" s="63"/>
      <c r="D28" s="54"/>
      <c r="E28" s="64"/>
      <c r="F28" s="65"/>
      <c r="G28" s="65"/>
    </row>
    <row r="29" spans="1:7">
      <c r="A29" s="17" t="s">
        <v>176</v>
      </c>
      <c r="B29" s="62">
        <v>1200</v>
      </c>
      <c r="C29" s="63">
        <v>1000</v>
      </c>
      <c r="D29" s="54">
        <v>21</v>
      </c>
      <c r="E29" s="64">
        <f>C29*$B$23+D29</f>
        <v>141</v>
      </c>
      <c r="F29" s="65">
        <f>E29/B29</f>
        <v>0.1175</v>
      </c>
      <c r="G29" s="65">
        <f>1-F29-Assumptions!$B$12-Assumptions!$B$17</f>
        <v>0.8425</v>
      </c>
    </row>
    <row r="30" spans="1:7">
      <c r="A30" s="17" t="s">
        <v>177</v>
      </c>
      <c r="B30" s="62">
        <f>Assumptions!B11*1000</f>
        <v>13000</v>
      </c>
      <c r="C30" s="63">
        <v>10000</v>
      </c>
      <c r="D30" s="54">
        <v>200</v>
      </c>
      <c r="E30" s="64">
        <f>C30*$B$23+D30</f>
        <v>1400</v>
      </c>
      <c r="F30" s="65">
        <f>E30/B30</f>
        <v>0.107692307692308</v>
      </c>
      <c r="G30" s="65">
        <f>1-F30-Assumptions!$B$12-Assumptions!$B$17</f>
        <v>0.852307692307692</v>
      </c>
    </row>
    <row r="31" spans="1:7">
      <c r="A31" s="17" t="s">
        <v>178</v>
      </c>
      <c r="B31" s="48">
        <v>0.5</v>
      </c>
      <c r="C31" s="63">
        <v>1</v>
      </c>
      <c r="D31" s="54">
        <v>0</v>
      </c>
      <c r="E31" s="66">
        <f>C31*$B$23+D31</f>
        <v>0.12</v>
      </c>
      <c r="F31" s="65">
        <f>E31/B31</f>
        <v>0.24</v>
      </c>
      <c r="G31" s="65">
        <f>1-F31-Assumptions!$B$12-Assumptions!$B$17</f>
        <v>0.72</v>
      </c>
    </row>
    <row r="32" spans="1:7">
      <c r="A32" s="17" t="s">
        <v>179</v>
      </c>
      <c r="B32" s="48">
        <v>0.5</v>
      </c>
      <c r="C32" s="63">
        <v>1</v>
      </c>
      <c r="D32" s="54">
        <v>0</v>
      </c>
      <c r="E32" s="66">
        <f>C32*$B$23+D32</f>
        <v>0.12</v>
      </c>
      <c r="F32" s="65">
        <f>E32/B32</f>
        <v>0.24</v>
      </c>
      <c r="G32" s="65">
        <f>1-F32-Assumptions!$B$12-Assumptions!$B$17</f>
        <v>0.72</v>
      </c>
    </row>
    <row r="33" spans="1:7">
      <c r="A33" s="17" t="s">
        <v>180</v>
      </c>
      <c r="B33" s="48">
        <v>0.2</v>
      </c>
      <c r="C33" s="63">
        <v>1</v>
      </c>
      <c r="D33" s="54">
        <v>0</v>
      </c>
      <c r="E33" s="66">
        <f>C33*$B$24+D33</f>
        <v>0.04</v>
      </c>
      <c r="F33" s="65">
        <f>E33/B33</f>
        <v>0.2</v>
      </c>
      <c r="G33" s="65">
        <f>1-F33-Assumptions!$B$12-Assumptions!$B$17</f>
        <v>0.76</v>
      </c>
    </row>
    <row r="34" spans="1:7">
      <c r="A34" s="17" t="s">
        <v>181</v>
      </c>
      <c r="B34" s="17"/>
      <c r="C34" s="17"/>
      <c r="D34" s="60"/>
      <c r="E34" s="64">
        <f>250*B19+50*B20+120*0.73</f>
        <v>118.6</v>
      </c>
      <c r="F34" s="65">
        <f>E34/B27</f>
        <v>0.271603053435114</v>
      </c>
      <c r="G34" s="17"/>
    </row>
    <row r="35" spans="1:7">
      <c r="A35" s="17"/>
      <c r="B35" s="17"/>
      <c r="C35" s="67"/>
      <c r="D35" s="67"/>
      <c r="E35" s="17"/>
      <c r="F35" s="17"/>
      <c r="G35" s="17"/>
    </row>
    <row r="36" spans="1:7">
      <c r="A36" s="11" t="s">
        <v>182</v>
      </c>
      <c r="B36" s="17"/>
      <c r="C36" s="67"/>
      <c r="D36" s="67"/>
      <c r="E36" s="17"/>
      <c r="F36" s="17"/>
      <c r="G36" s="17"/>
    </row>
    <row r="37" spans="1:7">
      <c r="A37" s="11" t="s">
        <v>183</v>
      </c>
      <c r="B37" s="17"/>
      <c r="C37" s="17"/>
      <c r="D37" s="17"/>
      <c r="E37" s="17"/>
      <c r="F37" s="17"/>
      <c r="G37" s="17"/>
    </row>
    <row r="38" spans="1:7">
      <c r="A38" s="11" t="s">
        <v>184</v>
      </c>
      <c r="B38" s="17"/>
      <c r="C38" s="17"/>
      <c r="D38" s="17"/>
      <c r="E38" s="17"/>
      <c r="F38" s="17"/>
      <c r="G38" s="17"/>
    </row>
    <row r="39" spans="1:7">
      <c r="A39" s="17"/>
      <c r="B39" s="17"/>
      <c r="C39" s="17"/>
      <c r="D39" s="17"/>
      <c r="E39" s="17"/>
      <c r="F39" s="17"/>
      <c r="G39" s="17"/>
    </row>
    <row r="40" spans="1:7">
      <c r="A40" s="17"/>
      <c r="B40" s="17"/>
      <c r="C40" s="17"/>
      <c r="D40" s="17"/>
      <c r="E40" s="17"/>
      <c r="F40" s="17"/>
      <c r="G40" s="17"/>
    </row>
  </sheetData>
  <hyperlinks>
    <hyperlink ref="D4" r:id="rId1" display="M03_Vendr_Meltwater_pricing_capture.txt"/>
    <hyperlink ref="D5" r:id="rId2" display="M04b_SpendHound_Cision_pricing.pdf"/>
    <hyperlink ref="D6" r:id="rId3" display="M06_Toolradar_Brandwatch.pdf"/>
    <hyperlink ref="D8" r:id="rId4" display="M08_iTechGuides_AI_factchecking_tools.pdf"/>
    <hyperlink ref="D9" r:id="rId5" display="M11_Viralbuster_pricing.pdf"/>
    <hyperlink ref="D10" r:id="rId6" display="M12_Apify_verify_API.pdf"/>
    <hyperlink ref="D11" r:id="rId7" display="M09_TinEye_API_pricing_capture.txt"/>
    <hyperlink ref="D12" r:id="rId8" display="M17_Vendr_Recorded_Future_pricing_capture.txt"/>
    <hyperlink ref="D15" r:id="rId9" display="X01_ECB_EUR_USD_reference_rate.pdf"/>
  </hyperlinks>
  <pageMargins left="0.75" right="0.75" top="1" bottom="1" header="0.511811023622047" footer="0.511811023622047"/>
  <pageSetup paperSize="9" orientation="portrait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"/>
    </sheetView>
  </sheetViews>
  <sheetFormatPr defaultColWidth="9" defaultRowHeight="14.5" outlineLevelCol="3"/>
  <cols>
    <col min="1" max="1" width="58" customWidth="1"/>
    <col min="2" max="2" width="16" customWidth="1"/>
    <col min="3" max="3" width="22" customWidth="1"/>
    <col min="4" max="4" width="70" customWidth="1"/>
  </cols>
  <sheetData>
    <row r="1" ht="17" customHeight="1" spans="1:4">
      <c r="A1" s="1" t="s">
        <v>185</v>
      </c>
    </row>
    <row r="2" spans="1:4">
      <c r="A2" t="s">
        <v>186</v>
      </c>
    </row>
    <row r="4" spans="1:4">
      <c r="A4" s="2" t="s">
        <v>187</v>
      </c>
      <c r="B4" s="2" t="s">
        <v>188</v>
      </c>
      <c r="C4" s="2" t="s">
        <v>189</v>
      </c>
      <c r="D4" s="2" t="s">
        <v>190</v>
      </c>
    </row>
    <row r="5" spans="1:4">
      <c r="A5" s="3" t="s">
        <v>191</v>
      </c>
      <c r="B5" s="48">
        <v>27.37</v>
      </c>
      <c r="C5" t="s">
        <v>192</v>
      </c>
      <c r="D5" s="4" t="s">
        <v>193</v>
      </c>
    </row>
    <row r="6" spans="1:4">
      <c r="A6" s="3" t="s">
        <v>194</v>
      </c>
      <c r="B6" s="18">
        <v>0.3065</v>
      </c>
      <c r="C6" t="s">
        <v>195</v>
      </c>
      <c r="D6" s="4" t="s">
        <v>196</v>
      </c>
    </row>
    <row r="7" spans="1:4">
      <c r="A7" s="3" t="s">
        <v>197</v>
      </c>
      <c r="B7" s="49">
        <f>B5*(1+B6)</f>
        <v>35.758905</v>
      </c>
      <c r="C7" t="s">
        <v>192</v>
      </c>
      <c r="D7" t="s">
        <v>198</v>
      </c>
    </row>
    <row r="8" spans="1:4">
      <c r="A8" s="3" t="s">
        <v>199</v>
      </c>
      <c r="B8" s="50">
        <v>15</v>
      </c>
      <c r="C8" t="s">
        <v>200</v>
      </c>
      <c r="D8" s="4" t="s">
        <v>201</v>
      </c>
    </row>
    <row r="9" spans="1:4">
      <c r="A9" s="3" t="s">
        <v>202</v>
      </c>
      <c r="B9" s="50">
        <v>480</v>
      </c>
      <c r="C9" t="s">
        <v>200</v>
      </c>
      <c r="D9" s="4" t="s">
        <v>203</v>
      </c>
    </row>
    <row r="10" spans="1:4">
      <c r="A10" s="3" t="s">
        <v>204</v>
      </c>
      <c r="B10" s="50">
        <v>50</v>
      </c>
      <c r="C10" t="s">
        <v>200</v>
      </c>
      <c r="D10" s="4" t="s">
        <v>205</v>
      </c>
    </row>
    <row r="11" spans="1:4">
      <c r="A11" s="3" t="s">
        <v>206</v>
      </c>
      <c r="B11" s="50">
        <v>45</v>
      </c>
      <c r="C11" t="s">
        <v>207</v>
      </c>
      <c r="D11" s="4" t="s">
        <v>208</v>
      </c>
    </row>
    <row r="12" spans="1:4">
      <c r="A12" s="3" t="s">
        <v>209</v>
      </c>
      <c r="B12" s="50">
        <v>10</v>
      </c>
      <c r="C12" t="s">
        <v>207</v>
      </c>
      <c r="D12" t="s">
        <v>210</v>
      </c>
    </row>
    <row r="13" spans="1:4">
      <c r="A13" s="3" t="s">
        <v>211</v>
      </c>
      <c r="B13" s="51">
        <v>0.091</v>
      </c>
      <c r="C13" t="s">
        <v>212</v>
      </c>
      <c r="D13" s="4" t="s">
        <v>213</v>
      </c>
    </row>
    <row r="14" spans="1:4">
      <c r="A14" s="3" t="s">
        <v>214</v>
      </c>
      <c r="B14" s="48">
        <v>0.17</v>
      </c>
      <c r="C14" t="s">
        <v>212</v>
      </c>
      <c r="D14" s="4" t="s">
        <v>215</v>
      </c>
    </row>
    <row r="15" spans="1:4">
      <c r="A15" s="3" t="s">
        <v>216</v>
      </c>
      <c r="B15" s="48">
        <v>0.09</v>
      </c>
      <c r="C15" t="s">
        <v>212</v>
      </c>
      <c r="D15" s="4" t="s">
        <v>217</v>
      </c>
    </row>
    <row r="16" spans="1:4">
      <c r="A16" s="3" t="s">
        <v>218</v>
      </c>
      <c r="B16" s="18">
        <v>0.2</v>
      </c>
      <c r="C16" t="s">
        <v>195</v>
      </c>
      <c r="D16" s="4" t="s">
        <v>219</v>
      </c>
    </row>
    <row r="17" spans="1:4">
      <c r="A17" s="3" t="s">
        <v>220</v>
      </c>
      <c r="B17" s="13">
        <f>1-3/50</f>
        <v>0.94</v>
      </c>
      <c r="C17" t="s">
        <v>195</v>
      </c>
      <c r="D17" s="4" t="s">
        <v>221</v>
      </c>
    </row>
    <row r="18" spans="1:4">
      <c r="A18" s="3" t="s">
        <v>222</v>
      </c>
      <c r="B18">
        <f>ROUND(Assumptions!B7*1000/12/0.92,0)</f>
        <v>475</v>
      </c>
      <c r="C18" t="s">
        <v>223</v>
      </c>
      <c r="D18" t="s">
        <v>224</v>
      </c>
    </row>
    <row r="19" spans="1:4">
      <c r="A19" s="3" t="s">
        <v>225</v>
      </c>
      <c r="B19">
        <f>'Pricing research'!C27</f>
        <v>600</v>
      </c>
      <c r="C19" t="s">
        <v>226</v>
      </c>
      <c r="D19" t="s">
        <v>227</v>
      </c>
    </row>
    <row r="20" spans="1:4">
      <c r="A20" s="3" t="s">
        <v>228</v>
      </c>
      <c r="B20">
        <f>'Pricing research'!B29</f>
        <v>1200</v>
      </c>
      <c r="C20" t="s">
        <v>223</v>
      </c>
      <c r="D20" t="s">
        <v>229</v>
      </c>
    </row>
    <row r="21" spans="1:4">
      <c r="A21" s="17" t="s">
        <v>230</v>
      </c>
      <c r="B21" s="50">
        <v>5</v>
      </c>
      <c r="C21" t="s">
        <v>200</v>
      </c>
      <c r="D21" t="s">
        <v>231</v>
      </c>
    </row>
    <row r="22" spans="1:4">
      <c r="A22" t="s">
        <v>232</v>
      </c>
      <c r="B22">
        <f>'Pricing research'!C29</f>
        <v>1000</v>
      </c>
      <c r="C22" t="s">
        <v>226</v>
      </c>
      <c r="D22" t="s">
        <v>233</v>
      </c>
    </row>
    <row r="23" spans="1:4">
      <c r="A23" s="2" t="s">
        <v>152</v>
      </c>
      <c r="B23" s="2" t="s">
        <v>234</v>
      </c>
      <c r="C23" s="2" t="s">
        <v>235</v>
      </c>
      <c r="D23" s="2" t="s">
        <v>236</v>
      </c>
    </row>
    <row r="24" spans="1:4">
      <c r="A24" t="s">
        <v>237</v>
      </c>
      <c r="B24" s="49">
        <f>$B$7*B8/60</f>
        <v>8.93972625</v>
      </c>
      <c r="C24" s="49">
        <f>$B$7*B8/60*(1-$B$16)+B13</f>
        <v>7.242781</v>
      </c>
      <c r="D24" s="49">
        <f>$B$7*B8/60*(1-$B$17)+B13</f>
        <v>0.627383575</v>
      </c>
    </row>
    <row r="25" spans="1:4">
      <c r="A25" t="s">
        <v>238</v>
      </c>
      <c r="B25" s="49">
        <f>$B$7*B9/60</f>
        <v>286.07124</v>
      </c>
      <c r="C25" s="49">
        <f>$B$7*B9/60*(1-$B$16)+B13</f>
        <v>228.947992</v>
      </c>
      <c r="D25" s="49">
        <f>$B$7*B9/60*(1-$B$17)+B13</f>
        <v>17.2552744</v>
      </c>
    </row>
    <row r="26" spans="1:4">
      <c r="A26" t="s">
        <v>239</v>
      </c>
      <c r="B26" s="49">
        <f>$B$7*B10/60</f>
        <v>29.7990875</v>
      </c>
      <c r="C26" s="49">
        <f>$B$7*B10/60*(1-$B$16)+B14</f>
        <v>24.00927</v>
      </c>
      <c r="D26" s="49">
        <f>$B$7*B10/60*(1-$B$17)+B14</f>
        <v>1.95794525</v>
      </c>
    </row>
    <row r="27" spans="1:4">
      <c r="A27" t="s">
        <v>240</v>
      </c>
      <c r="B27" s="49">
        <f>$B$7*B12*B8/60</f>
        <v>89.3972625</v>
      </c>
      <c r="C27" s="49">
        <f>$B$7*B12*B8/60*(1-$B$16)+B12*B15</f>
        <v>72.41781</v>
      </c>
      <c r="D27" s="49">
        <f>$B$7*B12*B8/60*(1-$B$17)+B12*B15</f>
        <v>6.26383575</v>
      </c>
    </row>
    <row r="28" spans="1:4">
      <c r="A28" t="s">
        <v>241</v>
      </c>
      <c r="B28" s="49">
        <f>$B$7*B11*B8/60</f>
        <v>402.28768125</v>
      </c>
      <c r="C28" s="49">
        <f>$B$7*B11*B8/60*(1-$B$16)+B11*B15</f>
        <v>325.880145</v>
      </c>
      <c r="D28" s="49">
        <f>$B$7*B11*B8/60*(1-$B$17)+B11*B15</f>
        <v>28.187260875</v>
      </c>
    </row>
    <row r="30" spans="1:4">
      <c r="A30" s="2" t="s">
        <v>242</v>
      </c>
      <c r="B30" s="2" t="s">
        <v>234</v>
      </c>
      <c r="C30" s="2" t="s">
        <v>243</v>
      </c>
      <c r="D30" s="2" t="s">
        <v>244</v>
      </c>
    </row>
    <row r="31" spans="1:4">
      <c r="A31" t="s">
        <v>245</v>
      </c>
      <c r="B31" s="52">
        <f>B19*B24</f>
        <v>5363.83575</v>
      </c>
      <c r="C31" s="52">
        <f>B19*(B24-C24)</f>
        <v>1018.16715</v>
      </c>
      <c r="D31" s="52">
        <f>B19*(B24-D24)</f>
        <v>4987.405605</v>
      </c>
    </row>
    <row r="32" spans="1:4">
      <c r="B32" s="53"/>
    </row>
    <row r="33" spans="1:3">
      <c r="B33" s="53"/>
    </row>
    <row r="34" spans="1:3">
      <c r="B34" s="53"/>
    </row>
    <row r="35" spans="1:3">
      <c r="A35" t="s">
        <v>246</v>
      </c>
      <c r="B35" s="12">
        <f>1-B21/B8</f>
        <v>0.666666666666667</v>
      </c>
      <c r="C35" s="12">
        <f>1-(B19*B21/60*B7+B18)/(B19*B8/60*B7)</f>
        <v>0.578110636590615</v>
      </c>
    </row>
    <row r="36" ht="60" customHeight="1" spans="1:3">
      <c r="A36" s="3" t="s">
        <v>247</v>
      </c>
    </row>
    <row r="37" spans="1:3">
      <c r="A37" t="s">
        <v>248</v>
      </c>
      <c r="B37" s="12">
        <f>1-B21/B8</f>
        <v>0.666666666666667</v>
      </c>
      <c r="C37" s="12">
        <f>1-(B22*B21/60*B7+B20)/(B22*B8/60*B7)</f>
        <v>0.532434368446126</v>
      </c>
    </row>
    <row r="38" spans="1:3">
      <c r="A38" t="s">
        <v>249</v>
      </c>
      <c r="B38" s="54">
        <v>30</v>
      </c>
      <c r="C38" s="54">
        <v>45</v>
      </c>
    </row>
    <row r="39" spans="1:3">
      <c r="A39" t="s">
        <v>250</v>
      </c>
      <c r="B39" s="12">
        <f>1-(B19*B21/60*B38+B18)/(B19*B8/60*B38)</f>
        <v>0.561111111111111</v>
      </c>
      <c r="C39" s="12">
        <f>1-(B19*B21/60*C38+B18)/(B19*B8/60*C38)</f>
        <v>0.596296296296296</v>
      </c>
    </row>
    <row r="40" spans="1:3">
      <c r="A40" t="s">
        <v>251</v>
      </c>
      <c r="B40" s="12">
        <f>1-(B22*B21/60*B38+B20)/(B22*B8/60*B38)</f>
        <v>0.506666666666667</v>
      </c>
      <c r="C40" s="12">
        <f>1-(B22*B21/60*C38+B20)/(B22*B8/60*C38)</f>
        <v>0.56</v>
      </c>
    </row>
    <row r="41" spans="1:3">
      <c r="A41" t="s">
        <v>252</v>
      </c>
    </row>
  </sheetData>
  <mergeCells count="1">
    <mergeCell ref="A36:D36"/>
  </mergeCells>
  <hyperlinks>
    <hyperlink ref="D5" r:id="rId1" display="INE EAES 2024, table 28204"/>
    <hyperlink ref="D6" r:id="rId2" display="BOE Orden PJC/297/2026, pp. 5, 16, 30–31"/>
    <hyperlink ref="D8" r:id="rId3" display="Hassan et al. 2015, p.1: '15 to 30 minutes for the most simple fact-check'"/>
    <hyperlink ref="D9" r:id="rId3" display="Hassan et al. 2015, p.1: 'a full day for a more typical one'"/>
    <hyperlink ref="D10" r:id="rId4" display="Caulfield, Nieman Lab, 19 Aug 2026 (expert estimate)"/>
    <hyperlink ref="D11" r:id="rId5" display="Our measurement: 7.4–9.3 claims per minute of speech"/>
    <hyperlink ref="D13" r:id="rId5" display="Spend ledger §1, 29,511 paid API events"/>
    <hyperlink ref="D14" r:id="rId5" display="Spend ledger (estimate €0.13–0.18)"/>
    <hyperlink ref="D15" r:id="rId5" display="Spend ledger: €0.07–0.11 (midpoint)"/>
    <hyperlink ref="D16" r:id="rId6" display="Fan et al. 2020, abstract: 'reduce the time required by around 20%'"/>
    <hyperlink ref="D17" r:id="rId4" display="Caulfield, Nieman Lab 2026"/>
  </hyperlink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xSplit="1" ySplit="3" topLeftCell="B4" activePane="bottomRight" state="frozen"/>
      <selection/>
      <selection pane="topRight"/>
      <selection pane="bottomLeft"/>
      <selection pane="bottomRight" activeCell="A1" sqref="A1"/>
    </sheetView>
  </sheetViews>
  <sheetFormatPr defaultColWidth="8.68181818181818" defaultRowHeight="14.5" outlineLevelCol="6"/>
  <cols>
    <col min="1" max="1" width="54" customWidth="1"/>
    <col min="2" max="6" width="12" customWidth="1"/>
    <col min="7" max="7" width="60" customWidth="1"/>
  </cols>
  <sheetData>
    <row r="1" ht="17.35" customHeight="1" spans="1:6">
      <c r="A1" s="5" t="s">
        <v>253</v>
      </c>
    </row>
    <row r="2" ht="15" customHeight="1" spans="1:6">
      <c r="A2" s="42" t="s">
        <v>254</v>
      </c>
    </row>
    <row r="3" ht="15" customHeight="1" spans="1:6">
      <c r="A3" s="6" t="s">
        <v>255</v>
      </c>
      <c r="B3" s="6" t="s">
        <v>87</v>
      </c>
      <c r="C3" s="6" t="s">
        <v>88</v>
      </c>
      <c r="D3" s="6" t="s">
        <v>89</v>
      </c>
      <c r="E3" s="6" t="s">
        <v>90</v>
      </c>
      <c r="F3" s="6" t="s">
        <v>91</v>
      </c>
    </row>
    <row r="4" ht="15" customHeight="1" spans="1:6">
      <c r="A4" s="7" t="s">
        <v>93</v>
      </c>
      <c r="B4" s="30">
        <f>Assumptions!B50</f>
        <v>8</v>
      </c>
      <c r="C4" s="30">
        <f>Assumptions!C50</f>
        <v>20</v>
      </c>
      <c r="D4" s="30">
        <f>Assumptions!D50</f>
        <v>35</v>
      </c>
      <c r="E4" s="30">
        <f>Assumptions!E50</f>
        <v>55</v>
      </c>
      <c r="F4" s="30">
        <f>Assumptions!F50</f>
        <v>80</v>
      </c>
    </row>
    <row r="5" ht="15" customHeight="1" spans="1:6">
      <c r="A5" s="7" t="s">
        <v>256</v>
      </c>
      <c r="B5" s="46">
        <f>B4/2</f>
        <v>4</v>
      </c>
      <c r="C5" s="46">
        <f>(B4+C4)/2</f>
        <v>14</v>
      </c>
      <c r="D5" s="46">
        <f>(C4+D4)/2</f>
        <v>27.5</v>
      </c>
      <c r="E5" s="46">
        <f>(D4+E4)/2</f>
        <v>45</v>
      </c>
      <c r="F5" s="46">
        <f>(E4+F4)/2</f>
        <v>67.5</v>
      </c>
    </row>
    <row r="6" ht="15" customHeight="1" spans="1:6">
      <c r="A6" s="7" t="s">
        <v>257</v>
      </c>
      <c r="B6" s="31">
        <f>ROUND(B5*Assumptions!$B$7,0)</f>
        <v>21</v>
      </c>
      <c r="C6" s="31">
        <f>ROUND(C5*Assumptions!$B$7,0)</f>
        <v>73</v>
      </c>
      <c r="D6" s="31">
        <f>ROUND(D5*Assumptions!$B$7,0)</f>
        <v>144</v>
      </c>
      <c r="E6" s="31">
        <f>ROUND(E5*Assumptions!$B$7,0)</f>
        <v>236</v>
      </c>
      <c r="F6" s="31">
        <f>ROUND(F5*Assumptions!$B$7,0)</f>
        <v>354</v>
      </c>
    </row>
    <row r="7" ht="15" customHeight="1" spans="1:6">
      <c r="A7" s="7" t="s">
        <v>258</v>
      </c>
      <c r="B7" s="30">
        <f>Assumptions!B51</f>
        <v>3</v>
      </c>
      <c r="C7" s="30">
        <f>Assumptions!C51</f>
        <v>2</v>
      </c>
      <c r="D7" s="30">
        <f>Assumptions!D51</f>
        <v>4</v>
      </c>
      <c r="E7" s="30">
        <f>Assumptions!E51</f>
        <v>2</v>
      </c>
      <c r="F7" s="30">
        <f>Assumptions!F51</f>
        <v>3</v>
      </c>
    </row>
    <row r="8" ht="15" customHeight="1" spans="1:6">
      <c r="A8" s="7" t="s">
        <v>259</v>
      </c>
      <c r="B8" s="31">
        <f>B7*Assumptions!$B$11</f>
        <v>39</v>
      </c>
      <c r="C8" s="31">
        <f>C7*Assumptions!$B$11</f>
        <v>26</v>
      </c>
      <c r="D8" s="31">
        <f>D7*Assumptions!$B$11</f>
        <v>52</v>
      </c>
      <c r="E8" s="31">
        <f>E7*Assumptions!$B$11</f>
        <v>26</v>
      </c>
      <c r="F8" s="31">
        <f>F7*Assumptions!$B$11</f>
        <v>39</v>
      </c>
    </row>
    <row r="9" ht="15" customHeight="1" spans="1:6">
      <c r="A9" s="29" t="s">
        <v>260</v>
      </c>
      <c r="B9" s="32">
        <f>B6+B8</f>
        <v>60</v>
      </c>
      <c r="C9" s="32">
        <f>C6+C8</f>
        <v>99</v>
      </c>
      <c r="D9" s="32">
        <f>D6+D8</f>
        <v>196</v>
      </c>
      <c r="E9" s="32">
        <f>E6+E8</f>
        <v>262</v>
      </c>
      <c r="F9" s="32">
        <f>F6+F8</f>
        <v>393</v>
      </c>
    </row>
    <row r="11" ht="15" customHeight="1" spans="1:6">
      <c r="A11" s="7" t="s">
        <v>95</v>
      </c>
      <c r="B11" s="30">
        <f>Assumptions!B52</f>
        <v>3</v>
      </c>
      <c r="C11" s="30">
        <f>Assumptions!C52</f>
        <v>10</v>
      </c>
      <c r="D11" s="30">
        <f>Assumptions!D52</f>
        <v>20</v>
      </c>
      <c r="E11" s="30">
        <f>Assumptions!E52</f>
        <v>32</v>
      </c>
      <c r="F11" s="30">
        <f>Assumptions!F52</f>
        <v>48</v>
      </c>
    </row>
    <row r="12" ht="15" customHeight="1" spans="1:6">
      <c r="A12" s="7" t="s">
        <v>261</v>
      </c>
      <c r="B12" s="46">
        <f>B11/2</f>
        <v>1.5</v>
      </c>
      <c r="C12" s="46">
        <f>(B11+C11)/2</f>
        <v>6.5</v>
      </c>
      <c r="D12" s="46">
        <f>(C11+D11)/2</f>
        <v>15</v>
      </c>
      <c r="E12" s="46">
        <f>(D11+E11)/2</f>
        <v>26</v>
      </c>
      <c r="F12" s="46">
        <f>(E11+F11)/2</f>
        <v>40</v>
      </c>
    </row>
    <row r="13" ht="15" customHeight="1" spans="1:6">
      <c r="A13" s="29" t="s">
        <v>262</v>
      </c>
      <c r="B13" s="32">
        <f>ROUND(B12*Assumptions!$B$8,0)</f>
        <v>21</v>
      </c>
      <c r="C13" s="32">
        <f>ROUND(C12*Assumptions!$B$8,0)</f>
        <v>93</v>
      </c>
      <c r="D13" s="32">
        <f>ROUND(D12*Assumptions!$B$8,0)</f>
        <v>215</v>
      </c>
      <c r="E13" s="32">
        <f>ROUND(E12*Assumptions!$B$8,0)</f>
        <v>372</v>
      </c>
      <c r="F13" s="32">
        <f>ROUND(F12*Assumptions!$B$8,0)</f>
        <v>572</v>
      </c>
    </row>
    <row r="15" ht="15" customHeight="1" spans="1:6">
      <c r="A15" s="7" t="s">
        <v>96</v>
      </c>
      <c r="B15" s="30">
        <f>Assumptions!B53</f>
        <v>0</v>
      </c>
      <c r="C15" s="30">
        <f>Assumptions!C53</f>
        <v>1</v>
      </c>
      <c r="D15" s="30">
        <f>Assumptions!D53</f>
        <v>3</v>
      </c>
      <c r="E15" s="30">
        <f>Assumptions!E53</f>
        <v>6</v>
      </c>
      <c r="F15" s="30">
        <f>Assumptions!F53</f>
        <v>10</v>
      </c>
    </row>
    <row r="16" ht="15" customHeight="1" spans="1:6">
      <c r="A16" s="7" t="s">
        <v>263</v>
      </c>
      <c r="B16" s="46">
        <f>B15/2</f>
        <v>0</v>
      </c>
      <c r="C16" s="46">
        <f>(B15+C15)/2</f>
        <v>0.5</v>
      </c>
      <c r="D16" s="46">
        <f>(C15+D15)/2</f>
        <v>2</v>
      </c>
      <c r="E16" s="46">
        <f>(D15+E15)/2</f>
        <v>4.5</v>
      </c>
      <c r="F16" s="46">
        <f>(E15+F15)/2</f>
        <v>8</v>
      </c>
    </row>
    <row r="17" ht="15" customHeight="1" spans="1:7">
      <c r="A17" s="7" t="s">
        <v>264</v>
      </c>
      <c r="B17" s="31">
        <f>ROUND(B16*Assumptions!$B$9,0)</f>
        <v>0</v>
      </c>
      <c r="C17" s="31">
        <f>ROUND(C16*Assumptions!$B$9,0)</f>
        <v>15</v>
      </c>
      <c r="D17" s="31">
        <f>ROUND(D16*Assumptions!$B$9,0)</f>
        <v>60</v>
      </c>
      <c r="E17" s="31">
        <f>ROUND(E16*Assumptions!$B$9,0)</f>
        <v>135</v>
      </c>
      <c r="F17" s="31">
        <f>ROUND(F16*Assumptions!$B$9,0)</f>
        <v>240</v>
      </c>
    </row>
    <row r="18" ht="15" customHeight="1" spans="1:7">
      <c r="A18" s="7" t="s">
        <v>265</v>
      </c>
      <c r="B18" s="31">
        <f>MAX(B15,0)</f>
        <v>0</v>
      </c>
      <c r="C18" s="31">
        <f>MAX(C15-B15,0)</f>
        <v>1</v>
      </c>
      <c r="D18" s="31">
        <f>MAX(D15-C15,0)</f>
        <v>2</v>
      </c>
      <c r="E18" s="31">
        <f>MAX(E15-D15,0)</f>
        <v>3</v>
      </c>
      <c r="F18" s="31">
        <f>MAX(F15-E15,0)</f>
        <v>4</v>
      </c>
    </row>
    <row r="19" ht="15" customHeight="1" spans="1:7">
      <c r="A19" s="7" t="s">
        <v>266</v>
      </c>
      <c r="B19" s="31">
        <f>B18*Assumptions!$B$10</f>
        <v>0</v>
      </c>
      <c r="C19" s="31">
        <f>C18*Assumptions!$B$10</f>
        <v>5</v>
      </c>
      <c r="D19" s="31">
        <f>D18*Assumptions!$B$10</f>
        <v>10</v>
      </c>
      <c r="E19" s="31">
        <f>E18*Assumptions!$B$10</f>
        <v>15</v>
      </c>
      <c r="F19" s="31">
        <f>F18*Assumptions!$B$10</f>
        <v>20</v>
      </c>
    </row>
    <row r="20" ht="15" customHeight="1" spans="1:7">
      <c r="A20" s="29" t="s">
        <v>267</v>
      </c>
      <c r="B20" s="32">
        <f>B17+B19</f>
        <v>0</v>
      </c>
      <c r="C20" s="32">
        <f>C17+C19</f>
        <v>20</v>
      </c>
      <c r="D20" s="32">
        <f>D17+D19</f>
        <v>70</v>
      </c>
      <c r="E20" s="32">
        <f>E17+E19</f>
        <v>150</v>
      </c>
      <c r="F20" s="32">
        <f>F17+F19</f>
        <v>260</v>
      </c>
    </row>
    <row r="22" ht="15" customHeight="1" spans="1:7">
      <c r="A22" s="29" t="s">
        <v>268</v>
      </c>
      <c r="B22" s="47">
        <f>Assumptions!B54</f>
        <v>0</v>
      </c>
      <c r="C22" s="47">
        <f>Assumptions!C54</f>
        <v>15</v>
      </c>
      <c r="D22" s="47">
        <f>Assumptions!D54</f>
        <v>50</v>
      </c>
      <c r="E22" s="47">
        <f>Assumptions!E54</f>
        <v>110</v>
      </c>
      <c r="F22" s="47">
        <f>Assumptions!F54</f>
        <v>200</v>
      </c>
    </row>
    <row r="23" spans="1:7">
      <c r="A23" t="s">
        <v>269</v>
      </c>
      <c r="B23">
        <v>12</v>
      </c>
      <c r="C23">
        <v>26</v>
      </c>
      <c r="D23">
        <v>39</v>
      </c>
      <c r="E23">
        <v>52</v>
      </c>
      <c r="F23">
        <v>72</v>
      </c>
    </row>
    <row r="24" ht="15" customHeight="1" spans="1:7">
      <c r="A24" s="34" t="s">
        <v>270</v>
      </c>
      <c r="B24" s="35">
        <f>B9+B13+B20+B22+B23</f>
        <v>93</v>
      </c>
      <c r="C24" s="35">
        <f>C9+C13+C20+C22+C23</f>
        <v>253</v>
      </c>
      <c r="D24" s="35">
        <f>D9+D13+D20+D22+D23</f>
        <v>570</v>
      </c>
      <c r="E24" s="35">
        <f>E9+E13+E20+E22+E23</f>
        <v>946</v>
      </c>
      <c r="F24" s="35">
        <f>F9+F13+F20+F22+F23</f>
        <v>1497</v>
      </c>
    </row>
    <row r="25" ht="15" customHeight="1" spans="1:7">
      <c r="A25" s="29" t="s">
        <v>271</v>
      </c>
      <c r="B25" s="32">
        <f>B4*Assumptions!$B$7+B11*Assumptions!$B$8+B15*Assumptions!$B$9+B22</f>
        <v>84.82</v>
      </c>
      <c r="C25" s="32">
        <f>C4*Assumptions!$B$7+C11*Assumptions!$B$8+C15*Assumptions!$B$9+C22</f>
        <v>292.8</v>
      </c>
      <c r="D25" s="32">
        <f>D4*Assumptions!$B$7+D11*Assumptions!$B$8+D15*Assumptions!$B$9+D22</f>
        <v>609.4</v>
      </c>
      <c r="E25" s="32">
        <f>E4*Assumptions!$B$7+E11*Assumptions!$B$8+E15*Assumptions!$B$9+E22</f>
        <v>1035.8</v>
      </c>
      <c r="F25" s="32">
        <f>F4*Assumptions!$B$7+F11*Assumptions!$B$8+F15*Assumptions!$B$9+F22</f>
        <v>1605.6</v>
      </c>
      <c r="G25" s="42" t="s">
        <v>272</v>
      </c>
    </row>
  </sheetData>
  <pageMargins left="0.75" right="0.75" top="1" bottom="1" header="0.511811023622047" footer="0.511811023622047"/>
  <pageSetup paperSize="9" orientation="portrait" horizontalDpi="3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workbookViewId="0">
      <pane xSplit="1" ySplit="3" topLeftCell="B4" activePane="bottomRight" state="frozen"/>
      <selection/>
      <selection pane="topRight"/>
      <selection pane="bottomLeft"/>
      <selection pane="bottomRight" activeCell="A1" sqref="A1"/>
    </sheetView>
  </sheetViews>
  <sheetFormatPr defaultColWidth="8.68181818181818" defaultRowHeight="14.5" outlineLevelCol="5"/>
  <cols>
    <col min="1" max="1" width="54" customWidth="1"/>
    <col min="2" max="6" width="12" customWidth="1"/>
    <col min="7" max="7" width="60" customWidth="1"/>
  </cols>
  <sheetData>
    <row r="1" ht="17.35" customHeight="1" spans="1:6">
      <c r="A1" s="5" t="s">
        <v>9</v>
      </c>
    </row>
    <row r="2" ht="15" customHeight="1" spans="1:6">
      <c r="A2" s="42" t="s">
        <v>273</v>
      </c>
    </row>
    <row r="3" ht="15" customHeight="1" spans="1:6">
      <c r="A3" s="6" t="s">
        <v>255</v>
      </c>
      <c r="B3" s="6" t="s">
        <v>87</v>
      </c>
      <c r="C3" s="6" t="s">
        <v>88</v>
      </c>
      <c r="D3" s="6" t="s">
        <v>89</v>
      </c>
      <c r="E3" s="6" t="s">
        <v>90</v>
      </c>
      <c r="F3" s="6" t="s">
        <v>91</v>
      </c>
    </row>
    <row r="4" ht="15" customHeight="1" spans="1:6">
      <c r="A4" s="7" t="s">
        <v>274</v>
      </c>
      <c r="B4" s="41">
        <v>38</v>
      </c>
      <c r="C4" s="41">
        <v>48</v>
      </c>
      <c r="D4" s="41">
        <v>48</v>
      </c>
      <c r="E4" s="41">
        <v>60</v>
      </c>
      <c r="F4" s="41">
        <v>65</v>
      </c>
    </row>
    <row r="5" ht="15" customHeight="1" spans="1:6">
      <c r="A5" s="7" t="s">
        <v>275</v>
      </c>
      <c r="B5" s="31">
        <f>ROUND(B4*Assumptions!$B$18,0)</f>
        <v>50</v>
      </c>
      <c r="C5" s="31">
        <f>ROUND(C4*Assumptions!$B$18,0)</f>
        <v>63</v>
      </c>
      <c r="D5" s="31">
        <f>ROUND(D4*Assumptions!$B$18,0)</f>
        <v>63</v>
      </c>
      <c r="E5" s="31">
        <f>ROUND(E4*Assumptions!$B$18,0)</f>
        <v>79</v>
      </c>
      <c r="F5" s="31">
        <f>ROUND(F4*Assumptions!$B$18,0)</f>
        <v>85</v>
      </c>
    </row>
    <row r="7" ht="15" customHeight="1" spans="1:6">
      <c r="A7" s="7" t="s">
        <v>276</v>
      </c>
      <c r="B7" s="41">
        <v>0</v>
      </c>
      <c r="C7" s="41">
        <v>0</v>
      </c>
      <c r="D7" s="41">
        <v>0</v>
      </c>
      <c r="E7" s="41">
        <v>65</v>
      </c>
      <c r="F7" s="41">
        <v>66</v>
      </c>
    </row>
    <row r="8" ht="15" customHeight="1" spans="1:6">
      <c r="A8" s="7" t="s">
        <v>275</v>
      </c>
      <c r="B8" s="31">
        <f>ROUND(B7*Assumptions!$B$18,0)</f>
        <v>0</v>
      </c>
      <c r="C8" s="31">
        <f>ROUND(C7*Assumptions!$B$18,0)</f>
        <v>0</v>
      </c>
      <c r="D8" s="31">
        <f>ROUND(D7*Assumptions!$B$18,0)</f>
        <v>0</v>
      </c>
      <c r="E8" s="31">
        <f>ROUND(E7*Assumptions!$B$18,0)</f>
        <v>85</v>
      </c>
      <c r="F8" s="31">
        <f>ROUND(F7*Assumptions!$B$18,0)</f>
        <v>86</v>
      </c>
    </row>
    <row r="10" ht="15" customHeight="1" spans="1:6">
      <c r="A10" s="7" t="s">
        <v>277</v>
      </c>
      <c r="B10" s="41">
        <v>0</v>
      </c>
      <c r="C10" s="41">
        <v>39</v>
      </c>
      <c r="D10" s="41">
        <v>40</v>
      </c>
      <c r="E10" s="41">
        <v>41</v>
      </c>
      <c r="F10" s="41">
        <v>41</v>
      </c>
    </row>
    <row r="11" ht="15" customHeight="1" spans="1:6">
      <c r="A11" s="7" t="s">
        <v>275</v>
      </c>
      <c r="B11" s="31">
        <f>ROUND(B10*Assumptions!$B$18,0)</f>
        <v>0</v>
      </c>
      <c r="C11" s="31">
        <f>ROUND(C10*Assumptions!$B$18,0)</f>
        <v>51</v>
      </c>
      <c r="D11" s="31">
        <f>ROUND(D10*Assumptions!$B$18,0)</f>
        <v>52</v>
      </c>
      <c r="E11" s="31">
        <f>ROUND(E10*Assumptions!$B$18,0)</f>
        <v>54</v>
      </c>
      <c r="F11" s="31">
        <f>ROUND(F10*Assumptions!$B$18,0)</f>
        <v>54</v>
      </c>
    </row>
    <row r="13" ht="15" customHeight="1" spans="1:6">
      <c r="A13" s="7" t="s">
        <v>278</v>
      </c>
      <c r="B13" s="41">
        <v>30</v>
      </c>
      <c r="C13" s="41">
        <v>92</v>
      </c>
      <c r="D13" s="41">
        <v>94</v>
      </c>
      <c r="E13" s="41">
        <v>144</v>
      </c>
      <c r="F13" s="41">
        <v>196</v>
      </c>
    </row>
    <row r="14" ht="15" customHeight="1" spans="1:6">
      <c r="A14" s="7" t="s">
        <v>275</v>
      </c>
      <c r="B14" s="31">
        <f>ROUND(B13*Assumptions!$B$18,0)</f>
        <v>39</v>
      </c>
      <c r="C14" s="31">
        <f>ROUND(C13*Assumptions!$B$18,0)</f>
        <v>121</v>
      </c>
      <c r="D14" s="31">
        <f>ROUND(D13*Assumptions!$B$18,0)</f>
        <v>123</v>
      </c>
      <c r="E14" s="31">
        <f>ROUND(E13*Assumptions!$B$18,0)</f>
        <v>189</v>
      </c>
      <c r="F14" s="31">
        <f>ROUND(F13*Assumptions!$B$18,0)</f>
        <v>257</v>
      </c>
    </row>
    <row r="16" ht="15" customHeight="1" spans="1:6">
      <c r="A16" s="7" t="s">
        <v>279</v>
      </c>
      <c r="B16" s="41">
        <v>0</v>
      </c>
      <c r="C16" s="41">
        <v>0</v>
      </c>
      <c r="D16" s="41">
        <v>47</v>
      </c>
      <c r="E16" s="41">
        <v>48</v>
      </c>
      <c r="F16" s="41">
        <v>98</v>
      </c>
    </row>
    <row r="17" ht="15" customHeight="1" spans="1:6">
      <c r="A17" s="7" t="s">
        <v>275</v>
      </c>
      <c r="B17" s="31">
        <f>ROUND(B16*Assumptions!$B$18,0)</f>
        <v>0</v>
      </c>
      <c r="C17" s="31">
        <f>ROUND(C16*Assumptions!$B$18,0)</f>
        <v>0</v>
      </c>
      <c r="D17" s="31">
        <f>ROUND(D16*Assumptions!$B$18,0)</f>
        <v>62</v>
      </c>
      <c r="E17" s="31">
        <f>ROUND(E16*Assumptions!$B$18,0)</f>
        <v>63</v>
      </c>
      <c r="F17" s="31">
        <f>ROUND(F16*Assumptions!$B$18,0)</f>
        <v>128</v>
      </c>
    </row>
    <row r="19" ht="15" customHeight="1" spans="1:6">
      <c r="A19" s="7" t="s">
        <v>280</v>
      </c>
      <c r="B19" s="41">
        <v>0</v>
      </c>
      <c r="C19" s="41">
        <v>0</v>
      </c>
      <c r="D19" s="41">
        <v>0</v>
      </c>
      <c r="E19" s="41">
        <v>0</v>
      </c>
      <c r="F19" s="41">
        <v>40</v>
      </c>
    </row>
    <row r="20" ht="15" customHeight="1" spans="1:6">
      <c r="A20" s="7" t="s">
        <v>275</v>
      </c>
      <c r="B20" s="31">
        <f>ROUND(B19*Assumptions!$B$18,0)</f>
        <v>0</v>
      </c>
      <c r="C20" s="31">
        <f>ROUND(C19*Assumptions!$B$18,0)</f>
        <v>0</v>
      </c>
      <c r="D20" s="31">
        <f>ROUND(D19*Assumptions!$B$18,0)</f>
        <v>0</v>
      </c>
      <c r="E20" s="31">
        <f>ROUND(E19*Assumptions!$B$18,0)</f>
        <v>0</v>
      </c>
      <c r="F20" s="31">
        <f>ROUND(F19*Assumptions!$B$18,0)</f>
        <v>52</v>
      </c>
    </row>
    <row r="22" ht="15" customHeight="1" spans="1:6">
      <c r="A22" s="34" t="s">
        <v>281</v>
      </c>
      <c r="B22" s="35">
        <f>B5+B8+B11+B14+B17+B20</f>
        <v>89</v>
      </c>
      <c r="C22" s="35">
        <f>C5+C8+C11+C14+C17+C20</f>
        <v>235</v>
      </c>
      <c r="D22" s="35">
        <f>D5+D8+D11+D14+D17+D20</f>
        <v>300</v>
      </c>
      <c r="E22" s="35">
        <f>E5+E8+E11+E14+E17+E20</f>
        <v>470</v>
      </c>
      <c r="F22" s="35">
        <f>F5+F8+F11+F14+F17+F20</f>
        <v>662</v>
      </c>
    </row>
    <row r="24" ht="15" customHeight="1" spans="1:6">
      <c r="A24" s="29" t="s">
        <v>282</v>
      </c>
    </row>
    <row r="25" ht="15" customHeight="1" spans="1:6">
      <c r="A25" s="7" t="s">
        <v>283</v>
      </c>
      <c r="B25" s="44">
        <v>1</v>
      </c>
      <c r="C25" s="44">
        <v>1</v>
      </c>
      <c r="D25" s="44">
        <v>1</v>
      </c>
      <c r="E25" s="44">
        <v>2</v>
      </c>
      <c r="F25" s="44">
        <v>2</v>
      </c>
    </row>
    <row r="26" ht="15" customHeight="1" spans="1:6">
      <c r="A26" s="7" t="s">
        <v>284</v>
      </c>
      <c r="B26" s="44">
        <v>0</v>
      </c>
      <c r="C26" s="44">
        <v>1</v>
      </c>
      <c r="D26" s="44">
        <v>1</v>
      </c>
      <c r="E26" s="44">
        <v>1</v>
      </c>
      <c r="F26" s="44">
        <v>1</v>
      </c>
    </row>
    <row r="27" ht="15" customHeight="1" spans="1:6">
      <c r="A27" s="7" t="s">
        <v>285</v>
      </c>
      <c r="B27" s="44">
        <v>1</v>
      </c>
      <c r="C27" s="44">
        <v>2</v>
      </c>
      <c r="D27" s="44">
        <v>2</v>
      </c>
      <c r="E27" s="44">
        <v>3</v>
      </c>
      <c r="F27" s="44">
        <v>4</v>
      </c>
    </row>
    <row r="28" ht="15" customHeight="1" spans="1:6">
      <c r="A28" s="7" t="s">
        <v>286</v>
      </c>
      <c r="B28" s="44">
        <v>0</v>
      </c>
      <c r="C28" s="44">
        <v>0</v>
      </c>
      <c r="D28" s="44">
        <v>1</v>
      </c>
      <c r="E28" s="44">
        <v>1</v>
      </c>
      <c r="F28" s="44">
        <v>2</v>
      </c>
    </row>
    <row r="29" ht="15" customHeight="1" spans="1:6">
      <c r="A29" s="7" t="s">
        <v>287</v>
      </c>
      <c r="B29" s="44">
        <v>0</v>
      </c>
      <c r="C29" s="44">
        <v>0</v>
      </c>
      <c r="D29" s="44">
        <v>0</v>
      </c>
      <c r="E29" s="44">
        <v>0</v>
      </c>
      <c r="F29" s="44">
        <v>1</v>
      </c>
    </row>
    <row r="30" ht="15" customHeight="1" spans="1:6">
      <c r="A30" s="29" t="s">
        <v>288</v>
      </c>
      <c r="B30" s="45">
        <f>SUM(B25:B29)</f>
        <v>2</v>
      </c>
      <c r="C30" s="45">
        <f>SUM(C25:C29)</f>
        <v>4</v>
      </c>
      <c r="D30" s="45">
        <f>SUM(D25:D29)</f>
        <v>5</v>
      </c>
      <c r="E30" s="45">
        <f>SUM(E25:E29)</f>
        <v>7</v>
      </c>
      <c r="F30" s="45">
        <f>SUM(F25:F29)</f>
        <v>10</v>
      </c>
    </row>
  </sheetData>
  <pageMargins left="0.75" right="0.75" top="1" bottom="1" header="0.511811023622047" footer="0.511811023622047"/>
  <pageSetup paperSize="9" orientation="portrait" horizontalDpi="300" verticalDpi="3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pane xSplit="1" ySplit="3" topLeftCell="B4" activePane="bottomRight" state="frozen"/>
      <selection/>
      <selection pane="topRight"/>
      <selection pane="bottomLeft"/>
      <selection pane="bottomRight" activeCell="A1" sqref="A1"/>
    </sheetView>
  </sheetViews>
  <sheetFormatPr defaultColWidth="8.68181818181818" defaultRowHeight="14.5" outlineLevelCol="5"/>
  <cols>
    <col min="1" max="1" width="54" customWidth="1"/>
    <col min="2" max="6" width="12" customWidth="1"/>
    <col min="7" max="7" width="60" customWidth="1"/>
  </cols>
  <sheetData>
    <row r="1" ht="17.35" customHeight="1" spans="1:6">
      <c r="A1" s="5" t="s">
        <v>11</v>
      </c>
    </row>
    <row r="3" ht="15" customHeight="1" spans="1:6">
      <c r="A3" s="6" t="s">
        <v>255</v>
      </c>
      <c r="B3" s="6" t="s">
        <v>87</v>
      </c>
      <c r="C3" s="6" t="s">
        <v>88</v>
      </c>
      <c r="D3" s="6" t="s">
        <v>89</v>
      </c>
      <c r="E3" s="6" t="s">
        <v>90</v>
      </c>
      <c r="F3" s="6" t="s">
        <v>91</v>
      </c>
    </row>
    <row r="4" ht="15" customHeight="1" spans="1:6">
      <c r="A4" s="17" t="s">
        <v>289</v>
      </c>
      <c r="B4" s="43">
        <v>4</v>
      </c>
      <c r="C4" s="43">
        <v>8</v>
      </c>
      <c r="D4" s="43">
        <v>16</v>
      </c>
      <c r="E4" s="43">
        <v>24</v>
      </c>
      <c r="F4" s="43">
        <v>30</v>
      </c>
    </row>
    <row r="5" ht="15" customHeight="1" spans="1:6">
      <c r="A5" s="17" t="s">
        <v>290</v>
      </c>
      <c r="B5" s="43">
        <v>6</v>
      </c>
      <c r="C5" s="43">
        <v>7</v>
      </c>
      <c r="D5" s="43">
        <v>8</v>
      </c>
      <c r="E5" s="43">
        <v>10</v>
      </c>
      <c r="F5" s="43">
        <v>12</v>
      </c>
    </row>
    <row r="6" ht="15" customHeight="1" spans="1:6">
      <c r="A6" s="17" t="s">
        <v>291</v>
      </c>
      <c r="B6" s="43">
        <v>22</v>
      </c>
      <c r="C6" s="43">
        <v>12</v>
      </c>
      <c r="D6" s="43">
        <v>12</v>
      </c>
      <c r="E6" s="43">
        <v>14</v>
      </c>
      <c r="F6" s="43">
        <v>14</v>
      </c>
    </row>
    <row r="7" ht="15" customHeight="1" spans="1:6">
      <c r="A7" s="17" t="s">
        <v>292</v>
      </c>
      <c r="B7" s="43">
        <v>1</v>
      </c>
      <c r="C7" s="43">
        <v>2</v>
      </c>
      <c r="D7" s="43">
        <v>3</v>
      </c>
      <c r="E7" s="43">
        <v>4</v>
      </c>
      <c r="F7" s="43">
        <v>5</v>
      </c>
    </row>
    <row r="8" ht="15" customHeight="1" spans="1:6">
      <c r="A8" s="17" t="s">
        <v>293</v>
      </c>
      <c r="B8" s="43">
        <v>5</v>
      </c>
      <c r="C8" s="43">
        <v>6</v>
      </c>
      <c r="D8" s="43">
        <v>8</v>
      </c>
      <c r="E8" s="43">
        <v>9</v>
      </c>
      <c r="F8" s="43">
        <v>10</v>
      </c>
    </row>
    <row r="9" ht="15" customHeight="1" spans="1:6">
      <c r="A9" s="17" t="s">
        <v>294</v>
      </c>
      <c r="B9" s="43">
        <v>15</v>
      </c>
      <c r="C9" s="43">
        <v>20</v>
      </c>
      <c r="D9" s="43">
        <v>46</v>
      </c>
      <c r="E9" s="43">
        <v>76</v>
      </c>
      <c r="F9" s="43">
        <v>90</v>
      </c>
    </row>
    <row r="10" ht="15" customHeight="1" spans="1:6">
      <c r="A10" s="17" t="s">
        <v>295</v>
      </c>
      <c r="B10" s="43">
        <v>3</v>
      </c>
      <c r="C10" s="43">
        <v>5</v>
      </c>
      <c r="D10" s="43">
        <v>7</v>
      </c>
      <c r="E10" s="43">
        <v>9</v>
      </c>
      <c r="F10" s="43">
        <v>10</v>
      </c>
    </row>
    <row r="11" ht="15" customHeight="1" spans="1:6">
      <c r="A11" s="17" t="s">
        <v>296</v>
      </c>
      <c r="B11" s="43">
        <v>5</v>
      </c>
      <c r="C11" s="43">
        <v>25</v>
      </c>
      <c r="D11" s="43">
        <v>30</v>
      </c>
      <c r="E11" s="43">
        <v>20</v>
      </c>
      <c r="F11" s="43">
        <v>20</v>
      </c>
    </row>
    <row r="12" ht="15" customHeight="1" spans="1:6">
      <c r="A12" s="17" t="s">
        <v>297</v>
      </c>
      <c r="B12" s="43">
        <v>3</v>
      </c>
      <c r="C12" s="43">
        <v>5</v>
      </c>
      <c r="D12" s="43">
        <v>7</v>
      </c>
      <c r="E12" s="43">
        <v>9</v>
      </c>
      <c r="F12" s="43">
        <v>10</v>
      </c>
    </row>
    <row r="13" ht="15" customHeight="1" spans="1:6">
      <c r="A13" s="17" t="s">
        <v>298</v>
      </c>
      <c r="B13" s="20">
        <f>ROUND('FINANCIAL MODEL'!B8*Assumptions!$B$28,0)</f>
        <v>4</v>
      </c>
      <c r="C13" s="20">
        <f>ROUND('FINANCIAL MODEL'!C8*Assumptions!$B$28,0)</f>
        <v>10</v>
      </c>
      <c r="D13" s="20">
        <f>ROUND('FINANCIAL MODEL'!D8*Assumptions!$B$28,0)</f>
        <v>23</v>
      </c>
      <c r="E13" s="20">
        <f>ROUND('FINANCIAL MODEL'!E8*Assumptions!$B$28,0)</f>
        <v>38</v>
      </c>
      <c r="F13" s="20">
        <f>ROUND('FINANCIAL MODEL'!F8*Assumptions!$B$28,0)</f>
        <v>60</v>
      </c>
    </row>
    <row r="14" spans="1:6">
      <c r="A14" s="26" t="s">
        <v>299</v>
      </c>
      <c r="B14" s="27">
        <f>SUM(B4:B13)</f>
        <v>68</v>
      </c>
      <c r="C14" s="27">
        <f>SUM(C4:C13)</f>
        <v>100</v>
      </c>
      <c r="D14" s="27">
        <f>SUM(D4:D13)</f>
        <v>160</v>
      </c>
      <c r="E14" s="27">
        <f>SUM(E4:E13)</f>
        <v>213</v>
      </c>
      <c r="F14" s="27">
        <f>SUM(F4:F13)</f>
        <v>261</v>
      </c>
    </row>
    <row r="15" spans="1:6">
      <c r="A15" s="17"/>
      <c r="B15" s="17"/>
      <c r="C15" s="17"/>
      <c r="D15" s="17"/>
      <c r="E15" s="17"/>
      <c r="F15" s="17"/>
    </row>
    <row r="16" spans="1:6">
      <c r="A16" s="17" t="s">
        <v>300</v>
      </c>
      <c r="B16" s="43">
        <v>2</v>
      </c>
      <c r="C16" s="43">
        <v>15</v>
      </c>
      <c r="D16" s="43">
        <v>22</v>
      </c>
      <c r="E16" s="43">
        <v>28</v>
      </c>
      <c r="F16" s="43">
        <v>34</v>
      </c>
    </row>
  </sheetData>
  <pageMargins left="0.75" right="0.75" top="1" bottom="1" header="0.511811023622047" footer="0.511811023622047"/>
  <pageSetup paperSize="9" orientation="portrait" horizontalDpi="300" verticalDpi="3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pane xSplit="1" ySplit="3" topLeftCell="B4" activePane="bottomRight" state="frozen"/>
      <selection/>
      <selection pane="topRight"/>
      <selection pane="bottomLeft"/>
      <selection pane="bottomRight" activeCell="A1" sqref="A1"/>
    </sheetView>
  </sheetViews>
  <sheetFormatPr defaultColWidth="8.68181818181818" defaultRowHeight="14.5" outlineLevelRow="4" outlineLevelCol="5"/>
  <cols>
    <col min="1" max="1" width="54" customWidth="1"/>
    <col min="2" max="6" width="12" customWidth="1"/>
    <col min="7" max="7" width="60" customWidth="1"/>
  </cols>
  <sheetData>
    <row r="1" ht="17.35" customHeight="1" spans="1:6">
      <c r="A1" s="5" t="s">
        <v>301</v>
      </c>
    </row>
    <row r="3" ht="15" customHeight="1" spans="1:6">
      <c r="A3" s="6" t="s">
        <v>255</v>
      </c>
      <c r="B3" s="6" t="s">
        <v>87</v>
      </c>
      <c r="C3" s="6" t="s">
        <v>88</v>
      </c>
      <c r="D3" s="6" t="s">
        <v>89</v>
      </c>
      <c r="E3" s="6" t="s">
        <v>90</v>
      </c>
      <c r="F3" s="6" t="s">
        <v>91</v>
      </c>
    </row>
    <row r="4" ht="15" customHeight="1" spans="1:6">
      <c r="A4" s="7" t="s">
        <v>302</v>
      </c>
      <c r="B4" s="41">
        <v>10</v>
      </c>
      <c r="C4" s="41">
        <v>25</v>
      </c>
      <c r="D4" s="41">
        <v>35</v>
      </c>
      <c r="E4" s="41">
        <v>40</v>
      </c>
      <c r="F4" s="41">
        <v>45</v>
      </c>
    </row>
    <row r="5" ht="15" customHeight="1" spans="1:6">
      <c r="A5" s="34" t="s">
        <v>303</v>
      </c>
      <c r="B5" s="35">
        <f>B4</f>
        <v>10</v>
      </c>
      <c r="C5" s="35">
        <f>C4</f>
        <v>25</v>
      </c>
      <c r="D5" s="35">
        <f>D4</f>
        <v>35</v>
      </c>
      <c r="E5" s="35">
        <f>E4</f>
        <v>40</v>
      </c>
      <c r="F5" s="35">
        <f>F4</f>
        <v>45</v>
      </c>
    </row>
  </sheetData>
  <pageMargins left="0.75" right="0.75" top="1" bottom="1" header="0.511811023622047" footer="0.511811023622047"/>
  <pageSetup paperSize="9" orientation="portrait" horizontalDpi="300" verticalDpi="3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pane xSplit="1" ySplit="3" topLeftCell="B4" activePane="bottomRight" state="frozen"/>
      <selection/>
      <selection pane="topRight"/>
      <selection pane="bottomLeft"/>
      <selection pane="bottomRight" activeCell="A1" sqref="A1"/>
    </sheetView>
  </sheetViews>
  <sheetFormatPr defaultColWidth="8.68181818181818" defaultRowHeight="14.5" outlineLevelCol="5"/>
  <cols>
    <col min="1" max="1" width="54" customWidth="1"/>
    <col min="2" max="6" width="12" customWidth="1"/>
    <col min="7" max="7" width="60" customWidth="1"/>
  </cols>
  <sheetData>
    <row r="1" ht="17.35" customHeight="1" spans="1:6">
      <c r="A1" s="5" t="s">
        <v>304</v>
      </c>
    </row>
    <row r="3" ht="15" customHeight="1" spans="1:6">
      <c r="A3" s="6" t="s">
        <v>255</v>
      </c>
      <c r="B3" s="6" t="s">
        <v>87</v>
      </c>
      <c r="C3" s="6" t="s">
        <v>88</v>
      </c>
      <c r="D3" s="6" t="s">
        <v>89</v>
      </c>
      <c r="E3" s="6" t="s">
        <v>90</v>
      </c>
      <c r="F3" s="6" t="s">
        <v>91</v>
      </c>
    </row>
    <row r="4" ht="15" customHeight="1" spans="1:6">
      <c r="A4" s="7" t="s">
        <v>305</v>
      </c>
      <c r="B4" s="41">
        <v>0</v>
      </c>
      <c r="C4" s="41">
        <v>17</v>
      </c>
      <c r="D4" s="41">
        <v>0</v>
      </c>
      <c r="E4" s="41">
        <v>17</v>
      </c>
      <c r="F4" s="41">
        <v>0</v>
      </c>
    </row>
    <row r="5" ht="15" customHeight="1" spans="1:6">
      <c r="A5" s="7" t="s">
        <v>306</v>
      </c>
      <c r="B5" s="41">
        <v>8</v>
      </c>
      <c r="C5" s="41">
        <v>3</v>
      </c>
      <c r="D5" s="41">
        <v>5</v>
      </c>
      <c r="E5" s="41">
        <v>5</v>
      </c>
      <c r="F5" s="41">
        <v>6</v>
      </c>
    </row>
    <row r="6" ht="15" customHeight="1" spans="1:6">
      <c r="A6" s="7" t="s">
        <v>307</v>
      </c>
      <c r="B6" s="41">
        <v>0</v>
      </c>
      <c r="C6" s="41">
        <v>0</v>
      </c>
      <c r="D6" s="41">
        <v>6</v>
      </c>
      <c r="E6" s="41">
        <v>0</v>
      </c>
      <c r="F6" s="41">
        <v>0</v>
      </c>
    </row>
    <row r="7" ht="15" customHeight="1" spans="1:6">
      <c r="A7" s="34" t="s">
        <v>308</v>
      </c>
      <c r="B7" s="35">
        <f>SUM(B4:B6)</f>
        <v>8</v>
      </c>
      <c r="C7" s="35">
        <f>SUM(C4:C6)</f>
        <v>20</v>
      </c>
      <c r="D7" s="35">
        <f>SUM(D4:D6)</f>
        <v>11</v>
      </c>
      <c r="E7" s="35">
        <f>SUM(E4:E6)</f>
        <v>22</v>
      </c>
      <c r="F7" s="35">
        <f>SUM(F4:F6)</f>
        <v>6</v>
      </c>
    </row>
    <row r="9" ht="15" customHeight="1" spans="1:6">
      <c r="A9" s="7" t="s">
        <v>309</v>
      </c>
      <c r="B9" s="31">
        <f>ROUND(SUM(B7:B7)/Assumptions!$B$22,0)</f>
        <v>2</v>
      </c>
      <c r="C9" s="31">
        <f>ROUND(SUM(B7:C7)/Assumptions!$B$22,0)</f>
        <v>7</v>
      </c>
      <c r="D9" s="31">
        <f>ROUND(SUM(B7:D7)/Assumptions!$B$22,0)</f>
        <v>10</v>
      </c>
      <c r="E9" s="31">
        <f>ROUND(SUM(B7:E7)/Assumptions!$B$22,0)</f>
        <v>15</v>
      </c>
      <c r="F9" s="31">
        <f>ROUND(SUM(C7:F7)/Assumptions!$B$22,0)</f>
        <v>15</v>
      </c>
    </row>
    <row r="10" ht="15" customHeight="1" spans="1:6">
      <c r="A10" s="7" t="s">
        <v>310</v>
      </c>
      <c r="B10" s="31">
        <f>B7</f>
        <v>8</v>
      </c>
      <c r="C10" s="31">
        <f>B10+C7</f>
        <v>28</v>
      </c>
      <c r="D10" s="31">
        <f>C10+D7</f>
        <v>39</v>
      </c>
      <c r="E10" s="31">
        <f>D10+E7</f>
        <v>61</v>
      </c>
      <c r="F10" s="31">
        <f>E10+F7</f>
        <v>67</v>
      </c>
    </row>
    <row r="11" ht="15" customHeight="1" spans="1:6">
      <c r="A11" s="7" t="s">
        <v>311</v>
      </c>
      <c r="B11" s="31">
        <f>B9</f>
        <v>2</v>
      </c>
      <c r="C11" s="31">
        <f>B11+C9</f>
        <v>9</v>
      </c>
      <c r="D11" s="31">
        <f>C11+D9</f>
        <v>19</v>
      </c>
      <c r="E11" s="31">
        <f>D11+E9</f>
        <v>34</v>
      </c>
      <c r="F11" s="31">
        <f>E11+F9</f>
        <v>49</v>
      </c>
    </row>
    <row r="12" ht="15" customHeight="1" spans="1:6">
      <c r="A12" s="29" t="s">
        <v>312</v>
      </c>
      <c r="B12" s="32">
        <f>B10-B11</f>
        <v>6</v>
      </c>
      <c r="C12" s="32">
        <f>C10-C11</f>
        <v>19</v>
      </c>
      <c r="D12" s="32">
        <f>D10-D11</f>
        <v>20</v>
      </c>
      <c r="E12" s="32">
        <f>E10-E11</f>
        <v>27</v>
      </c>
      <c r="F12" s="32">
        <f>F10-F11</f>
        <v>18</v>
      </c>
    </row>
  </sheetData>
  <pageMargins left="0.75" right="0.75" top="1" bottom="1" header="0.511811023622047" footer="0.511811023622047"/>
  <pageSetup paperSize="9" orientation="portrait" horizontalDpi="300" verticalDpi="3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xSplit="1" ySplit="3" topLeftCell="B4" activePane="bottomRight" state="frozen"/>
      <selection/>
      <selection pane="topRight"/>
      <selection pane="bottomLeft"/>
      <selection pane="bottomRight" activeCell="A1" sqref="A1"/>
    </sheetView>
  </sheetViews>
  <sheetFormatPr defaultColWidth="8.68181818181818" defaultRowHeight="14.5" outlineLevelCol="6"/>
  <cols>
    <col min="1" max="1" width="54" customWidth="1"/>
    <col min="2" max="6" width="12" customWidth="1"/>
    <col min="7" max="7" width="60" customWidth="1"/>
  </cols>
  <sheetData>
    <row r="1" ht="17.35" customHeight="1" spans="1:7">
      <c r="A1" s="5" t="s">
        <v>313</v>
      </c>
    </row>
    <row r="3" ht="15" customHeight="1" spans="1:7">
      <c r="A3" s="6" t="s">
        <v>255</v>
      </c>
      <c r="B3" s="6" t="s">
        <v>87</v>
      </c>
      <c r="C3" s="6" t="s">
        <v>88</v>
      </c>
      <c r="D3" s="6" t="s">
        <v>89</v>
      </c>
      <c r="E3" s="6" t="s">
        <v>90</v>
      </c>
      <c r="F3" s="6" t="s">
        <v>91</v>
      </c>
    </row>
    <row r="4" ht="15" customHeight="1" spans="1:7">
      <c r="A4" s="7" t="s">
        <v>314</v>
      </c>
      <c r="B4" s="41">
        <v>10</v>
      </c>
      <c r="C4" s="41">
        <v>0</v>
      </c>
      <c r="D4" s="41">
        <v>0</v>
      </c>
      <c r="E4" s="41">
        <v>0</v>
      </c>
      <c r="F4" s="41">
        <v>0</v>
      </c>
    </row>
    <row r="5" ht="15" customHeight="1" spans="1:7">
      <c r="A5" s="7" t="s">
        <v>315</v>
      </c>
      <c r="B5" s="41">
        <v>300</v>
      </c>
      <c r="C5" s="41">
        <v>0</v>
      </c>
      <c r="D5" s="41">
        <v>0</v>
      </c>
      <c r="E5" s="41">
        <v>0</v>
      </c>
      <c r="F5" s="41">
        <v>0</v>
      </c>
      <c r="G5" s="42" t="s">
        <v>316</v>
      </c>
    </row>
    <row r="6" ht="15" customHeight="1" spans="1:7">
      <c r="A6" s="7" t="s">
        <v>317</v>
      </c>
      <c r="B6" s="41">
        <v>0</v>
      </c>
      <c r="C6" s="41">
        <v>0</v>
      </c>
      <c r="D6" s="41">
        <v>0</v>
      </c>
      <c r="E6" s="41">
        <v>0</v>
      </c>
      <c r="F6" s="41">
        <v>0</v>
      </c>
      <c r="G6" s="42" t="s">
        <v>318</v>
      </c>
    </row>
    <row r="7" ht="15" customHeight="1" spans="1:7">
      <c r="A7" s="29" t="s">
        <v>319</v>
      </c>
      <c r="B7" s="32">
        <f>SUM(B4:B6)</f>
        <v>310</v>
      </c>
      <c r="C7" s="32">
        <f>SUM(C4:C6)</f>
        <v>0</v>
      </c>
      <c r="D7" s="32">
        <f>SUM(D4:D6)</f>
        <v>0</v>
      </c>
      <c r="E7" s="32">
        <f>SUM(E4:E6)</f>
        <v>0</v>
      </c>
      <c r="F7" s="32">
        <f>SUM(F4:F6)</f>
        <v>0</v>
      </c>
    </row>
    <row r="8" ht="15" customHeight="1" spans="1:7">
      <c r="A8" s="34" t="s">
        <v>320</v>
      </c>
      <c r="B8" s="35">
        <f>B7</f>
        <v>310</v>
      </c>
      <c r="C8" s="35">
        <f>B8+C7</f>
        <v>310</v>
      </c>
      <c r="D8" s="35">
        <f>C8+D7</f>
        <v>310</v>
      </c>
      <c r="E8" s="35">
        <f>D8+E7</f>
        <v>310</v>
      </c>
      <c r="F8" s="35">
        <f>E8+F7</f>
        <v>310</v>
      </c>
    </row>
    <row r="10" ht="15" customHeight="1" spans="1:7">
      <c r="A10" s="7" t="s">
        <v>321</v>
      </c>
      <c r="B10" s="41">
        <v>75</v>
      </c>
      <c r="C10" s="41">
        <v>100</v>
      </c>
      <c r="D10" s="41">
        <v>0</v>
      </c>
      <c r="E10" s="41">
        <v>0</v>
      </c>
      <c r="F10" s="41">
        <v>0</v>
      </c>
      <c r="G10" t="s">
        <v>322</v>
      </c>
    </row>
    <row r="11" ht="15" customHeight="1" spans="1:7">
      <c r="A11" s="7" t="s">
        <v>323</v>
      </c>
      <c r="B11" s="41">
        <v>0</v>
      </c>
      <c r="C11" s="41">
        <v>0</v>
      </c>
      <c r="D11" s="41">
        <v>0</v>
      </c>
      <c r="E11" s="41">
        <v>25</v>
      </c>
      <c r="F11" s="41">
        <v>25</v>
      </c>
    </row>
    <row r="12" ht="15" customHeight="1" spans="1:7">
      <c r="A12" s="29" t="s">
        <v>324</v>
      </c>
      <c r="B12" s="32">
        <f>B10-B11</f>
        <v>75</v>
      </c>
      <c r="C12" s="32">
        <f>B12+C10-C11</f>
        <v>175</v>
      </c>
      <c r="D12" s="32">
        <f>C12+D10-D11</f>
        <v>175</v>
      </c>
      <c r="E12" s="32">
        <f>D12+E10-E11</f>
        <v>150</v>
      </c>
      <c r="F12" s="32">
        <f>E12+F10-F11</f>
        <v>125</v>
      </c>
    </row>
    <row r="13" ht="15" customHeight="1" spans="1:7">
      <c r="A13" s="7" t="s">
        <v>325</v>
      </c>
      <c r="B13" s="31">
        <f>ROUND(Assumptions!$B$21*(B12)/2,0)</f>
        <v>2</v>
      </c>
      <c r="C13" s="31">
        <f>ROUND(Assumptions!$B$21*(B12+C12)/2,0)</f>
        <v>8</v>
      </c>
      <c r="D13" s="31">
        <f>ROUND(Assumptions!$B$21*(C12+D12)/2,0)</f>
        <v>11</v>
      </c>
      <c r="E13" s="31">
        <f>ROUND(Assumptions!$B$21*(D12+E12)/2,0)</f>
        <v>10</v>
      </c>
      <c r="F13" s="31">
        <f>ROUND(Assumptions!$B$21*(E12+F12)/2,0)</f>
        <v>8</v>
      </c>
    </row>
    <row r="15" ht="15" customHeight="1" spans="1:7">
      <c r="A15" s="7" t="s">
        <v>326</v>
      </c>
      <c r="B15" s="41">
        <v>45</v>
      </c>
      <c r="C15" s="41">
        <v>155</v>
      </c>
      <c r="D15" s="41">
        <v>110</v>
      </c>
      <c r="E15" s="41">
        <v>0</v>
      </c>
      <c r="F15" s="41">
        <v>0</v>
      </c>
      <c r="G15" t="s">
        <v>327</v>
      </c>
    </row>
    <row r="16" ht="15" customHeight="1" spans="1:7">
      <c r="A16" s="7" t="s">
        <v>328</v>
      </c>
      <c r="B16" s="41">
        <v>45</v>
      </c>
      <c r="C16" s="41">
        <v>155</v>
      </c>
      <c r="D16" s="41">
        <v>0</v>
      </c>
      <c r="E16" s="41">
        <v>110</v>
      </c>
      <c r="F16" s="41">
        <v>0</v>
      </c>
    </row>
    <row r="17" ht="15" customHeight="1" spans="1:6">
      <c r="A17" s="7" t="s">
        <v>329</v>
      </c>
      <c r="B17" s="31">
        <f>B15-B16</f>
        <v>0</v>
      </c>
      <c r="C17" s="31">
        <f>B17+C15-C16</f>
        <v>0</v>
      </c>
      <c r="D17" s="31">
        <f>C17+D15-D16</f>
        <v>110</v>
      </c>
      <c r="E17" s="31">
        <f>D17+E15-E16</f>
        <v>0</v>
      </c>
      <c r="F17" s="31">
        <f>E17+F15-F16</f>
        <v>0</v>
      </c>
    </row>
  </sheetData>
  <pageMargins left="0.75" right="0.75" top="1" bottom="1" header="0.511811023622047" footer="0.511811023622047"/>
  <pageSetup paperSize="9" orientation="portrait" horizontalDpi="300" verticalDpi="3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1"/>
  <sheetViews>
    <sheetView workbookViewId="0">
      <pane xSplit="1" ySplit="3" topLeftCell="B4" activePane="bottomRight" state="frozen"/>
      <selection/>
      <selection pane="topRight"/>
      <selection pane="bottomLeft"/>
      <selection pane="bottomRight" activeCell="A1" sqref="A1"/>
    </sheetView>
  </sheetViews>
  <sheetFormatPr defaultColWidth="8.68181818181818" defaultRowHeight="14.5" outlineLevelCol="5"/>
  <cols>
    <col min="1" max="1" width="54" customWidth="1"/>
    <col min="2" max="6" width="12" customWidth="1"/>
    <col min="7" max="7" width="60" customWidth="1"/>
  </cols>
  <sheetData>
    <row r="1" ht="17.35" customHeight="1" spans="1:6">
      <c r="A1" s="5" t="s">
        <v>330</v>
      </c>
    </row>
    <row r="3" ht="15" customHeight="1" spans="1:6">
      <c r="A3" s="6" t="s">
        <v>331</v>
      </c>
      <c r="B3" s="6" t="s">
        <v>87</v>
      </c>
      <c r="C3" s="6" t="s">
        <v>88</v>
      </c>
      <c r="D3" s="6" t="s">
        <v>89</v>
      </c>
      <c r="E3" s="6" t="s">
        <v>90</v>
      </c>
      <c r="F3" s="6" t="s">
        <v>91</v>
      </c>
    </row>
    <row r="4" ht="15" customHeight="1" spans="1:6">
      <c r="A4" s="7" t="s">
        <v>332</v>
      </c>
      <c r="B4" s="30">
        <f>Sales!B9</f>
        <v>60</v>
      </c>
      <c r="C4" s="30">
        <f>Sales!C9</f>
        <v>99</v>
      </c>
      <c r="D4" s="30">
        <f>Sales!D9</f>
        <v>196</v>
      </c>
      <c r="E4" s="30">
        <f>Sales!E9</f>
        <v>262</v>
      </c>
      <c r="F4" s="30">
        <f>Sales!F9</f>
        <v>393</v>
      </c>
    </row>
    <row r="5" ht="15" customHeight="1" spans="1:6">
      <c r="A5" s="7" t="s">
        <v>333</v>
      </c>
      <c r="B5" s="30">
        <f>Sales!B13</f>
        <v>21</v>
      </c>
      <c r="C5" s="30">
        <f>Sales!C13</f>
        <v>93</v>
      </c>
      <c r="D5" s="30">
        <f>Sales!D13</f>
        <v>215</v>
      </c>
      <c r="E5" s="30">
        <f>Sales!E13</f>
        <v>372</v>
      </c>
      <c r="F5" s="30">
        <f>Sales!F13</f>
        <v>572</v>
      </c>
    </row>
    <row r="6" ht="15" customHeight="1" spans="1:6">
      <c r="A6" s="7" t="s">
        <v>334</v>
      </c>
      <c r="B6" s="30">
        <f>Sales!B20</f>
        <v>0</v>
      </c>
      <c r="C6" s="30">
        <f>Sales!C20</f>
        <v>20</v>
      </c>
      <c r="D6" s="30">
        <f>Sales!D20</f>
        <v>70</v>
      </c>
      <c r="E6" s="30">
        <f>Sales!E20</f>
        <v>150</v>
      </c>
      <c r="F6" s="30">
        <f>Sales!F20</f>
        <v>260</v>
      </c>
    </row>
    <row r="7" ht="15" customHeight="1" spans="1:6">
      <c r="A7" s="7" t="s">
        <v>335</v>
      </c>
      <c r="B7" s="30">
        <f>Sales!B22+Sales!B23</f>
        <v>12</v>
      </c>
      <c r="C7" s="30">
        <f>Sales!C22+Sales!C23</f>
        <v>41</v>
      </c>
      <c r="D7" s="30">
        <f>Sales!D22+Sales!D23</f>
        <v>89</v>
      </c>
      <c r="E7" s="30">
        <f>Sales!E22+Sales!E23</f>
        <v>162</v>
      </c>
      <c r="F7" s="30">
        <f>Sales!F22+Sales!F23</f>
        <v>272</v>
      </c>
    </row>
    <row r="8" ht="15" customHeight="1" spans="1:6">
      <c r="A8" s="34" t="s">
        <v>270</v>
      </c>
      <c r="B8" s="35">
        <f>SUM(B4:B7)</f>
        <v>93</v>
      </c>
      <c r="C8" s="35">
        <f>SUM(C4:C7)</f>
        <v>253</v>
      </c>
      <c r="D8" s="35">
        <f>SUM(D4:D7)</f>
        <v>570</v>
      </c>
      <c r="E8" s="35">
        <f>SUM(E4:E7)</f>
        <v>946</v>
      </c>
      <c r="F8" s="35">
        <f>SUM(F4:F7)</f>
        <v>1497</v>
      </c>
    </row>
    <row r="9" ht="15" customHeight="1" spans="1:6">
      <c r="A9" s="7" t="s">
        <v>336</v>
      </c>
      <c r="B9" s="31">
        <f>-ROUND(B8*Assumptions!$B$12,0)</f>
        <v>-2</v>
      </c>
      <c r="C9" s="31">
        <f>-ROUND(C8*Assumptions!$B$12,0)</f>
        <v>-5</v>
      </c>
      <c r="D9" s="31">
        <f>-ROUND(D8*Assumptions!$B$12,0)</f>
        <v>-11</v>
      </c>
      <c r="E9" s="31">
        <f>-ROUND(E8*Assumptions!$B$12,0)</f>
        <v>-19</v>
      </c>
      <c r="F9" s="31">
        <f>-ROUND(F8*Assumptions!$B$12,0)</f>
        <v>-30</v>
      </c>
    </row>
    <row r="10" ht="15" customHeight="1" spans="1:6">
      <c r="A10" s="17" t="s">
        <v>337</v>
      </c>
      <c r="B10" s="31">
        <f>-(ROUND(B4*Assumptions!$B$13,0)+ROUND(B5*Assumptions!$B$14,0)+ROUND(B6*Assumptions!$B$15,0)+ROUND(B7*Assumptions!$B$16,0)+'Other expenses'!B16+'Staff expenses'!B17)</f>
        <v>-17</v>
      </c>
      <c r="C10" s="31">
        <f>-(ROUND(C4*Assumptions!$B$13,0)+ROUND(C5*Assumptions!$B$14,0)+ROUND(C6*Assumptions!$B$15,0)+ROUND(C7*Assumptions!$B$16,0)+'Other expenses'!C16+'Staff expenses'!C17)</f>
        <v>-56</v>
      </c>
      <c r="D10" s="31">
        <f>-(ROUND(D4*Assumptions!$B$13,0)+ROUND(D5*Assumptions!$B$14,0)+ROUND(D6*Assumptions!$B$15,0)+ROUND(D7*Assumptions!$B$16,0)+'Other expenses'!D16+'Staff expenses'!D17)</f>
        <v>-174</v>
      </c>
      <c r="E10" s="31">
        <f>-(ROUND(E4*Assumptions!$B$13,0)+ROUND(E5*Assumptions!$B$14,0)+ROUND(E6*Assumptions!$B$15,0)+ROUND(E7*Assumptions!$B$16,0)+'Other expenses'!E16+'Staff expenses'!E17)</f>
        <v>-242</v>
      </c>
      <c r="F10" s="31">
        <f>-(ROUND(F4*Assumptions!$B$13,0)+ROUND(F5*Assumptions!$B$14,0)+ROUND(F6*Assumptions!$B$15,0)+ROUND(F7*Assumptions!$B$16,0)+'Other expenses'!F16+'Staff expenses'!F17)</f>
        <v>-401</v>
      </c>
    </row>
    <row r="11" ht="15" customHeight="1" spans="1:6">
      <c r="A11" s="17" t="s">
        <v>338</v>
      </c>
      <c r="B11" s="31">
        <f>-ROUND(B8*Assumptions!$B$17,0)</f>
        <v>-2</v>
      </c>
      <c r="C11" s="31">
        <f>-ROUND(C8*Assumptions!$B$17,0)</f>
        <v>-5</v>
      </c>
      <c r="D11" s="31">
        <f>-ROUND(D8*Assumptions!$B$17,0)</f>
        <v>-11</v>
      </c>
      <c r="E11" s="31">
        <f>-ROUND(E8*Assumptions!$B$17,0)</f>
        <v>-19</v>
      </c>
      <c r="F11" s="31">
        <f>-ROUND(F8*Assumptions!$B$17,0)</f>
        <v>-30</v>
      </c>
    </row>
    <row r="12" ht="15" customHeight="1" spans="1:6">
      <c r="A12" s="26" t="s">
        <v>339</v>
      </c>
      <c r="B12" s="32">
        <f>SUM(B9:B11)</f>
        <v>-21</v>
      </c>
      <c r="C12" s="32">
        <f>SUM(C9:C11)</f>
        <v>-66</v>
      </c>
      <c r="D12" s="32">
        <f>SUM(D9:D11)</f>
        <v>-196</v>
      </c>
      <c r="E12" s="32">
        <f>SUM(E9:E11)</f>
        <v>-280</v>
      </c>
      <c r="F12" s="32">
        <f>SUM(F9:F11)</f>
        <v>-461</v>
      </c>
    </row>
    <row r="13" ht="15" customHeight="1" spans="1:6">
      <c r="A13" s="34" t="s">
        <v>340</v>
      </c>
      <c r="B13" s="35">
        <f>B8+B12</f>
        <v>72</v>
      </c>
      <c r="C13" s="35">
        <f>C8+C12</f>
        <v>187</v>
      </c>
      <c r="D13" s="35">
        <f>D8+D12</f>
        <v>374</v>
      </c>
      <c r="E13" s="35">
        <f>E8+E12</f>
        <v>666</v>
      </c>
      <c r="F13" s="35">
        <f>F8+F12</f>
        <v>1036</v>
      </c>
    </row>
    <row r="14" ht="15" customHeight="1" spans="1:6">
      <c r="A14" s="7" t="s">
        <v>341</v>
      </c>
      <c r="B14" s="30">
        <f>Financing!B15</f>
        <v>45</v>
      </c>
      <c r="C14" s="30">
        <f>Financing!C15</f>
        <v>155</v>
      </c>
      <c r="D14" s="30">
        <f>Financing!D15</f>
        <v>110</v>
      </c>
      <c r="E14" s="30">
        <f>Financing!E15</f>
        <v>0</v>
      </c>
      <c r="F14" s="30">
        <f>Financing!F15</f>
        <v>0</v>
      </c>
    </row>
    <row r="15" ht="15" customHeight="1" spans="1:6">
      <c r="A15" s="7" t="s">
        <v>342</v>
      </c>
      <c r="B15" s="30">
        <f>-'I+D expenses'!B5</f>
        <v>-10</v>
      </c>
      <c r="C15" s="30">
        <f>-'I+D expenses'!C5</f>
        <v>-25</v>
      </c>
      <c r="D15" s="30">
        <f>-'I+D expenses'!D5</f>
        <v>-35</v>
      </c>
      <c r="E15" s="30">
        <f>-'I+D expenses'!E5</f>
        <v>-40</v>
      </c>
      <c r="F15" s="30">
        <f>-'I+D expenses'!F5</f>
        <v>-45</v>
      </c>
    </row>
    <row r="16" ht="15" customHeight="1" spans="1:6">
      <c r="A16" s="17" t="s">
        <v>343</v>
      </c>
      <c r="B16" s="30">
        <f>-('Staff expenses'!B22-'Staff expenses'!B17)</f>
        <v>-89</v>
      </c>
      <c r="C16" s="30">
        <f>-('Staff expenses'!C22-'Staff expenses'!C17)</f>
        <v>-235</v>
      </c>
      <c r="D16" s="30">
        <f>-('Staff expenses'!D22-'Staff expenses'!D17)</f>
        <v>-238</v>
      </c>
      <c r="E16" s="30">
        <f>-('Staff expenses'!E22-'Staff expenses'!E17)</f>
        <v>-407</v>
      </c>
      <c r="F16" s="30">
        <f>-('Staff expenses'!F22-'Staff expenses'!F17)</f>
        <v>-534</v>
      </c>
    </row>
    <row r="17" ht="15" customHeight="1" spans="1:6">
      <c r="A17" s="7" t="s">
        <v>11</v>
      </c>
      <c r="B17" s="30">
        <f>-'Other expenses'!B14</f>
        <v>-68</v>
      </c>
      <c r="C17" s="30">
        <f>-'Other expenses'!C14</f>
        <v>-100</v>
      </c>
      <c r="D17" s="30">
        <f>-'Other expenses'!D14</f>
        <v>-160</v>
      </c>
      <c r="E17" s="30">
        <f>-'Other expenses'!E14</f>
        <v>-213</v>
      </c>
      <c r="F17" s="30">
        <f>-'Other expenses'!F14</f>
        <v>-261</v>
      </c>
    </row>
    <row r="18" ht="15" customHeight="1" spans="1:6">
      <c r="A18" s="34" t="s">
        <v>344</v>
      </c>
      <c r="B18" s="35">
        <f>B13+SUM(B14:B17)</f>
        <v>-50</v>
      </c>
      <c r="C18" s="35">
        <f>C13+SUM(C14:C17)</f>
        <v>-18</v>
      </c>
      <c r="D18" s="35">
        <f>D13+SUM(D14:D17)</f>
        <v>51</v>
      </c>
      <c r="E18" s="35">
        <f>E13+SUM(E14:E17)</f>
        <v>6</v>
      </c>
      <c r="F18" s="35">
        <f>F13+SUM(F14:F17)</f>
        <v>196</v>
      </c>
    </row>
    <row r="19" ht="15" customHeight="1" spans="1:6">
      <c r="A19" s="7" t="s">
        <v>15</v>
      </c>
      <c r="B19" s="30">
        <f>-Ammortization!B9</f>
        <v>-2</v>
      </c>
      <c r="C19" s="30">
        <f>-Ammortization!C9</f>
        <v>-7</v>
      </c>
      <c r="D19" s="30">
        <f>-Ammortization!D9</f>
        <v>-10</v>
      </c>
      <c r="E19" s="30">
        <f>-Ammortization!E9</f>
        <v>-15</v>
      </c>
      <c r="F19" s="30">
        <f>-Ammortization!F9</f>
        <v>-15</v>
      </c>
    </row>
    <row r="20" ht="15" customHeight="1" spans="1:6">
      <c r="A20" s="29" t="s">
        <v>345</v>
      </c>
      <c r="B20" s="32">
        <f>B18+B19</f>
        <v>-52</v>
      </c>
      <c r="C20" s="32">
        <f>C18+C19</f>
        <v>-25</v>
      </c>
      <c r="D20" s="32">
        <f>D18+D19</f>
        <v>41</v>
      </c>
      <c r="E20" s="32">
        <f>E18+E19</f>
        <v>-9</v>
      </c>
      <c r="F20" s="32">
        <f>F18+F19</f>
        <v>181</v>
      </c>
    </row>
    <row r="21" ht="15" customHeight="1" spans="1:6">
      <c r="A21" s="7" t="s">
        <v>346</v>
      </c>
      <c r="B21" s="30">
        <f>-Financing!B13</f>
        <v>-2</v>
      </c>
      <c r="C21" s="30">
        <f>-Financing!C13</f>
        <v>-8</v>
      </c>
      <c r="D21" s="30">
        <f>-Financing!D13</f>
        <v>-11</v>
      </c>
      <c r="E21" s="30">
        <f>-Financing!E13</f>
        <v>-10</v>
      </c>
      <c r="F21" s="30">
        <f>-Financing!F13</f>
        <v>-8</v>
      </c>
    </row>
    <row r="22" ht="15" customHeight="1" spans="1:6">
      <c r="A22" s="29" t="s">
        <v>347</v>
      </c>
      <c r="B22" s="32">
        <f>B20+B21</f>
        <v>-54</v>
      </c>
      <c r="C22" s="32">
        <f>C20+C21</f>
        <v>-33</v>
      </c>
      <c r="D22" s="32">
        <f>D20+D21</f>
        <v>30</v>
      </c>
      <c r="E22" s="32">
        <f>E20+E21</f>
        <v>-19</v>
      </c>
      <c r="F22" s="32">
        <f>F20+F21</f>
        <v>173</v>
      </c>
    </row>
    <row r="23" ht="15" customHeight="1" spans="1:6">
      <c r="A23" s="7" t="s">
        <v>348</v>
      </c>
      <c r="B23" s="31">
        <f>-B82</f>
        <v>0</v>
      </c>
      <c r="C23" s="31">
        <f>-C82</f>
        <v>0</v>
      </c>
      <c r="D23" s="31">
        <f>-D82</f>
        <v>0</v>
      </c>
      <c r="E23" s="31">
        <f>-E82</f>
        <v>0</v>
      </c>
      <c r="F23" s="31">
        <f>-F82</f>
        <v>-15</v>
      </c>
    </row>
    <row r="24" ht="15" customHeight="1" spans="1:6">
      <c r="A24" s="34" t="s">
        <v>349</v>
      </c>
      <c r="B24" s="35">
        <f>B22+B23</f>
        <v>-54</v>
      </c>
      <c r="C24" s="35">
        <f>C22+C23</f>
        <v>-33</v>
      </c>
      <c r="D24" s="35">
        <f>D22+D23</f>
        <v>30</v>
      </c>
      <c r="E24" s="35">
        <f>E22+E23</f>
        <v>-19</v>
      </c>
      <c r="F24" s="35">
        <f>F22+F23</f>
        <v>158</v>
      </c>
    </row>
    <row r="25" ht="15" customHeight="1" spans="1:6">
      <c r="A25" s="7" t="s">
        <v>350</v>
      </c>
      <c r="B25" s="36">
        <f>IF(B8=0,0,B13/B8)</f>
        <v>0.774193548387097</v>
      </c>
      <c r="C25" s="36">
        <f>IF(C8=0,0,C13/C8)</f>
        <v>0.739130434782609</v>
      </c>
      <c r="D25" s="36">
        <f>IF(D8=0,0,D13/D8)</f>
        <v>0.656140350877193</v>
      </c>
      <c r="E25" s="36">
        <f>IF(E8=0,0,E13/E8)</f>
        <v>0.704016913319239</v>
      </c>
      <c r="F25" s="36">
        <f>IF(F8=0,0,F13/F8)</f>
        <v>0.692050768203073</v>
      </c>
    </row>
    <row r="26" ht="15" customHeight="1" spans="1:6">
      <c r="A26" s="7" t="s">
        <v>351</v>
      </c>
      <c r="B26" s="36">
        <f>IF(B8=0,0,B18/B8)</f>
        <v>-0.537634408602151</v>
      </c>
      <c r="C26" s="36">
        <f>IF(C8=0,0,C18/C8)</f>
        <v>-0.0711462450592885</v>
      </c>
      <c r="D26" s="36">
        <f>IF(D8=0,0,D18/D8)</f>
        <v>0.0894736842105263</v>
      </c>
      <c r="E26" s="36">
        <f>IF(E8=0,0,E18/E8)</f>
        <v>0.00634249471458774</v>
      </c>
      <c r="F26" s="36">
        <f>IF(F8=0,0,F18/F8)</f>
        <v>0.130928523714095</v>
      </c>
    </row>
    <row r="28" ht="15" customHeight="1" spans="1:6">
      <c r="A28" s="6" t="s">
        <v>352</v>
      </c>
      <c r="B28" s="6" t="s">
        <v>87</v>
      </c>
      <c r="C28" s="6" t="s">
        <v>88</v>
      </c>
      <c r="D28" s="6" t="s">
        <v>89</v>
      </c>
      <c r="E28" s="6" t="s">
        <v>90</v>
      </c>
      <c r="F28" s="6" t="s">
        <v>91</v>
      </c>
    </row>
    <row r="30" ht="15" customHeight="1" spans="1:6">
      <c r="A30" s="7" t="s">
        <v>353</v>
      </c>
      <c r="B30" s="30">
        <f>Ammortization!B12</f>
        <v>6</v>
      </c>
      <c r="C30" s="30">
        <f>Ammortization!C12</f>
        <v>19</v>
      </c>
      <c r="D30" s="30">
        <f>Ammortization!D12</f>
        <v>20</v>
      </c>
      <c r="E30" s="30">
        <f>Ammortization!E12</f>
        <v>27</v>
      </c>
      <c r="F30" s="30">
        <f>Ammortization!F12</f>
        <v>18</v>
      </c>
    </row>
    <row r="31" ht="15" customHeight="1" spans="1:6">
      <c r="A31" s="7" t="s">
        <v>354</v>
      </c>
      <c r="B31" s="31">
        <f>ROUND((B4+B5+B6)*Assumptions!$B$19/365,0)</f>
        <v>4</v>
      </c>
      <c r="C31" s="31">
        <f>ROUND((C4+C5+C6)*Assumptions!$B$19/365,0)</f>
        <v>12</v>
      </c>
      <c r="D31" s="31">
        <f>ROUND((D4+D5+D6)*Assumptions!$B$19/365,0)</f>
        <v>26</v>
      </c>
      <c r="E31" s="31">
        <f>ROUND((E4+E5+E6)*Assumptions!$B$19/365,0)</f>
        <v>43</v>
      </c>
      <c r="F31" s="31">
        <f>ROUND((F4+F5+F6)*Assumptions!$B$19/365,0)</f>
        <v>67</v>
      </c>
    </row>
    <row r="32" ht="15" customHeight="1" spans="1:6">
      <c r="A32" s="7" t="s">
        <v>329</v>
      </c>
      <c r="B32" s="30">
        <f>Financing!B17</f>
        <v>0</v>
      </c>
      <c r="C32" s="30">
        <f>Financing!C17</f>
        <v>0</v>
      </c>
      <c r="D32" s="30">
        <f>Financing!D17</f>
        <v>110</v>
      </c>
      <c r="E32" s="30">
        <f>Financing!E17</f>
        <v>0</v>
      </c>
      <c r="F32" s="30">
        <f>Financing!F17</f>
        <v>0</v>
      </c>
    </row>
    <row r="33" ht="15" customHeight="1" spans="1:6">
      <c r="A33" s="7" t="s">
        <v>355</v>
      </c>
      <c r="B33" s="31">
        <f>B67</f>
        <v>329</v>
      </c>
      <c r="C33" s="31">
        <f>C67</f>
        <v>383</v>
      </c>
      <c r="D33" s="31">
        <f>D67</f>
        <v>304</v>
      </c>
      <c r="E33" s="31">
        <f>E67</f>
        <v>358</v>
      </c>
      <c r="F33" s="31">
        <f>F67</f>
        <v>495</v>
      </c>
    </row>
    <row r="35" ht="15" customHeight="1" spans="1:6">
      <c r="A35" s="34" t="s">
        <v>356</v>
      </c>
      <c r="B35" s="35">
        <f>B30+B31+B32+B33</f>
        <v>339</v>
      </c>
      <c r="C35" s="35">
        <f>C30+C31+C32+C33</f>
        <v>414</v>
      </c>
      <c r="D35" s="35">
        <f>D30+D31+D32+D33</f>
        <v>460</v>
      </c>
      <c r="E35" s="35">
        <f>E30+E31+E32+E33</f>
        <v>428</v>
      </c>
      <c r="F35" s="35">
        <f>F30+F31+F32+F33</f>
        <v>580</v>
      </c>
    </row>
    <row r="38" ht="15" customHeight="1" spans="1:6">
      <c r="A38" s="7" t="s">
        <v>357</v>
      </c>
      <c r="B38" s="30">
        <f>Financing!B8</f>
        <v>310</v>
      </c>
      <c r="C38" s="30">
        <f>Financing!C8</f>
        <v>310</v>
      </c>
      <c r="D38" s="30">
        <f>Financing!D8</f>
        <v>310</v>
      </c>
      <c r="E38" s="30">
        <f>Financing!E8</f>
        <v>310</v>
      </c>
      <c r="F38" s="30">
        <f>Financing!F8</f>
        <v>310</v>
      </c>
    </row>
    <row r="39" ht="15" customHeight="1" spans="1:6">
      <c r="A39" s="7" t="s">
        <v>358</v>
      </c>
      <c r="B39" s="31">
        <f>0</f>
        <v>0</v>
      </c>
      <c r="C39" s="31">
        <f>B39+B40</f>
        <v>-54</v>
      </c>
      <c r="D39" s="31">
        <f>C39+C40</f>
        <v>-87</v>
      </c>
      <c r="E39" s="31">
        <f>D39+D40</f>
        <v>-57</v>
      </c>
      <c r="F39" s="31">
        <f>E39+E40</f>
        <v>-76</v>
      </c>
    </row>
    <row r="40" ht="15" customHeight="1" spans="1:6">
      <c r="A40" s="7" t="s">
        <v>349</v>
      </c>
      <c r="B40" s="31">
        <f>B24</f>
        <v>-54</v>
      </c>
      <c r="C40" s="31">
        <f>C24</f>
        <v>-33</v>
      </c>
      <c r="D40" s="31">
        <f>D24</f>
        <v>30</v>
      </c>
      <c r="E40" s="31">
        <f>E24</f>
        <v>-19</v>
      </c>
      <c r="F40" s="31">
        <f>F24</f>
        <v>158</v>
      </c>
    </row>
    <row r="41" ht="15" customHeight="1" spans="1:6">
      <c r="A41" s="29" t="s">
        <v>359</v>
      </c>
      <c r="B41" s="32">
        <f>SUM(B38:B40)</f>
        <v>256</v>
      </c>
      <c r="C41" s="32">
        <f>SUM(C38:C40)</f>
        <v>223</v>
      </c>
      <c r="D41" s="32">
        <f>SUM(D38:D40)</f>
        <v>253</v>
      </c>
      <c r="E41" s="32">
        <f>SUM(E38:E40)</f>
        <v>234</v>
      </c>
      <c r="F41" s="32">
        <f>SUM(F38:F40)</f>
        <v>392</v>
      </c>
    </row>
    <row r="42" ht="15" customHeight="1" spans="1:6">
      <c r="A42" s="7" t="s">
        <v>360</v>
      </c>
      <c r="B42" s="30">
        <f>Financing!B12</f>
        <v>75</v>
      </c>
      <c r="C42" s="30">
        <f>Financing!C12</f>
        <v>175</v>
      </c>
      <c r="D42" s="30">
        <f>Financing!D12</f>
        <v>175</v>
      </c>
      <c r="E42" s="30">
        <f>Financing!E12</f>
        <v>150</v>
      </c>
      <c r="F42" s="30">
        <f>Financing!F12</f>
        <v>125</v>
      </c>
    </row>
    <row r="43" ht="15" customHeight="1" spans="1:6">
      <c r="A43" s="7" t="s">
        <v>361</v>
      </c>
      <c r="B43" s="31">
        <f>ROUND(-(B12+B15+B17)*Assumptions!$B$20/365,0)</f>
        <v>8</v>
      </c>
      <c r="C43" s="31">
        <f>ROUND(-(C12+C15+C17)*Assumptions!$B$20/365,0)</f>
        <v>16</v>
      </c>
      <c r="D43" s="31">
        <f>ROUND(-(D12+D15+D17)*Assumptions!$B$20/365,0)</f>
        <v>32</v>
      </c>
      <c r="E43" s="31">
        <f>ROUND(-(E12+E15+E17)*Assumptions!$B$20/365,0)</f>
        <v>44</v>
      </c>
      <c r="F43" s="31">
        <f>ROUND(-(F12+F15+F17)*Assumptions!$B$20/365,0)</f>
        <v>63</v>
      </c>
    </row>
    <row r="46" ht="15" customHeight="1" spans="1:6">
      <c r="A46" s="34" t="s">
        <v>362</v>
      </c>
      <c r="B46" s="35">
        <f>B41+B42+B43</f>
        <v>339</v>
      </c>
      <c r="C46" s="35">
        <f>C41+C42+C43</f>
        <v>414</v>
      </c>
      <c r="D46" s="35">
        <f>D41+D42+D43</f>
        <v>460</v>
      </c>
      <c r="E46" s="35">
        <f>E41+E42+E43</f>
        <v>428</v>
      </c>
      <c r="F46" s="35">
        <f>F41+F42+F43</f>
        <v>580</v>
      </c>
    </row>
    <row r="47" ht="15" customHeight="1" spans="1:6">
      <c r="A47" s="7" t="s">
        <v>363</v>
      </c>
      <c r="B47" s="31">
        <f>B35-B46</f>
        <v>0</v>
      </c>
      <c r="C47" s="31">
        <f>C35-C46</f>
        <v>0</v>
      </c>
      <c r="D47" s="31">
        <f>D35-D46</f>
        <v>0</v>
      </c>
      <c r="E47" s="31">
        <f>E35-E46</f>
        <v>0</v>
      </c>
      <c r="F47" s="31">
        <f>F35-F46</f>
        <v>0</v>
      </c>
    </row>
    <row r="49" ht="15" customHeight="1" spans="1:6">
      <c r="A49" s="6" t="s">
        <v>364</v>
      </c>
      <c r="B49" s="6" t="s">
        <v>87</v>
      </c>
      <c r="C49" s="6" t="s">
        <v>88</v>
      </c>
      <c r="D49" s="6" t="s">
        <v>89</v>
      </c>
      <c r="E49" s="6" t="s">
        <v>90</v>
      </c>
      <c r="F49" s="6" t="s">
        <v>91</v>
      </c>
    </row>
    <row r="50" ht="15" customHeight="1" spans="1:6">
      <c r="A50" s="7" t="s">
        <v>344</v>
      </c>
      <c r="B50" s="31">
        <f>B18</f>
        <v>-50</v>
      </c>
      <c r="C50" s="31">
        <f>C18</f>
        <v>-18</v>
      </c>
      <c r="D50" s="31">
        <f>D18</f>
        <v>51</v>
      </c>
      <c r="E50" s="31">
        <f>E18</f>
        <v>6</v>
      </c>
      <c r="F50" s="31">
        <f>F18</f>
        <v>196</v>
      </c>
    </row>
    <row r="51" ht="15" customHeight="1" spans="1:6">
      <c r="A51" s="7" t="s">
        <v>365</v>
      </c>
      <c r="B51" s="31">
        <f>B21</f>
        <v>-2</v>
      </c>
      <c r="C51" s="31">
        <f>C21</f>
        <v>-8</v>
      </c>
      <c r="D51" s="31">
        <f>D21</f>
        <v>-11</v>
      </c>
      <c r="E51" s="31">
        <f>E21</f>
        <v>-10</v>
      </c>
      <c r="F51" s="31">
        <f>F21</f>
        <v>-8</v>
      </c>
    </row>
    <row r="52" ht="15" customHeight="1" spans="1:6">
      <c r="A52" s="7" t="s">
        <v>366</v>
      </c>
      <c r="B52" s="31">
        <f>B23</f>
        <v>0</v>
      </c>
      <c r="C52" s="31">
        <f>C23</f>
        <v>0</v>
      </c>
      <c r="D52" s="31">
        <f>D23</f>
        <v>0</v>
      </c>
      <c r="E52" s="31">
        <f>E23</f>
        <v>0</v>
      </c>
      <c r="F52" s="31">
        <f>F23</f>
        <v>-15</v>
      </c>
    </row>
    <row r="53" ht="15" customHeight="1" spans="1:6">
      <c r="A53" s="29" t="s">
        <v>367</v>
      </c>
      <c r="B53" s="32">
        <f>SUM(B50:B52)</f>
        <v>-52</v>
      </c>
      <c r="C53" s="32">
        <f>SUM(C50:C52)</f>
        <v>-26</v>
      </c>
      <c r="D53" s="32">
        <f>SUM(D50:D52)</f>
        <v>40</v>
      </c>
      <c r="E53" s="32">
        <f>SUM(E50:E52)</f>
        <v>-4</v>
      </c>
      <c r="F53" s="32">
        <f>SUM(F50:F52)</f>
        <v>173</v>
      </c>
    </row>
    <row r="54" ht="15" customHeight="1" spans="1:6">
      <c r="A54" s="7" t="s">
        <v>368</v>
      </c>
      <c r="B54" s="31">
        <f>-(B31+B32)</f>
        <v>-4</v>
      </c>
      <c r="C54" s="31">
        <f>-((C31+C32)-(B31+B32))</f>
        <v>-8</v>
      </c>
      <c r="D54" s="31">
        <f>-((D31+D32)-(C31+C32))</f>
        <v>-124</v>
      </c>
      <c r="E54" s="31">
        <f>-((E31+E32)-(D31+D32))</f>
        <v>93</v>
      </c>
      <c r="F54" s="31">
        <f>-((F31+F32)-(E31+E32))</f>
        <v>-24</v>
      </c>
    </row>
    <row r="55" ht="15" customHeight="1" spans="1:6">
      <c r="A55" s="7" t="s">
        <v>369</v>
      </c>
      <c r="B55" s="31">
        <f>B43</f>
        <v>8</v>
      </c>
      <c r="C55" s="31">
        <f>C43-B43</f>
        <v>8</v>
      </c>
      <c r="D55" s="31">
        <f>D43-C43</f>
        <v>16</v>
      </c>
      <c r="E55" s="31">
        <f>E43-D43</f>
        <v>12</v>
      </c>
      <c r="F55" s="31">
        <f>F43-E43</f>
        <v>19</v>
      </c>
    </row>
    <row r="57" ht="15" customHeight="1" spans="1:6">
      <c r="A57" s="29" t="s">
        <v>370</v>
      </c>
      <c r="B57" s="32">
        <f>B53+B54+B55</f>
        <v>-48</v>
      </c>
      <c r="C57" s="32">
        <f>C53+C54+C55</f>
        <v>-26</v>
      </c>
      <c r="D57" s="32">
        <f>D53+D54+D55</f>
        <v>-68</v>
      </c>
      <c r="E57" s="32">
        <f>E53+E54+E55</f>
        <v>101</v>
      </c>
      <c r="F57" s="32">
        <f>F53+F54+F55</f>
        <v>168</v>
      </c>
    </row>
    <row r="58" ht="15" customHeight="1" spans="1:6">
      <c r="A58" s="7" t="s">
        <v>371</v>
      </c>
      <c r="B58" s="30">
        <f>-Ammortization!B7</f>
        <v>-8</v>
      </c>
      <c r="C58" s="30">
        <f>-Ammortization!C7</f>
        <v>-20</v>
      </c>
      <c r="D58" s="30">
        <f>-Ammortization!D7</f>
        <v>-11</v>
      </c>
      <c r="E58" s="30">
        <f>-Ammortization!E7</f>
        <v>-22</v>
      </c>
      <c r="F58" s="30">
        <f>-Ammortization!F7</f>
        <v>-6</v>
      </c>
    </row>
    <row r="60" ht="15" customHeight="1" spans="1:6">
      <c r="A60" s="34" t="s">
        <v>372</v>
      </c>
      <c r="B60" s="35">
        <f>B57+B58</f>
        <v>-56</v>
      </c>
      <c r="C60" s="35">
        <f>C57+C58</f>
        <v>-46</v>
      </c>
      <c r="D60" s="35">
        <f>D57+D58</f>
        <v>-79</v>
      </c>
      <c r="E60" s="35">
        <f>E57+E58</f>
        <v>79</v>
      </c>
      <c r="F60" s="35">
        <f>F57+F58</f>
        <v>162</v>
      </c>
    </row>
    <row r="61" ht="15" customHeight="1" spans="1:6">
      <c r="A61" s="7" t="s">
        <v>373</v>
      </c>
      <c r="B61" s="30">
        <f>Financing!B10-Financing!B11</f>
        <v>75</v>
      </c>
      <c r="C61" s="30">
        <f>Financing!C10-Financing!C11</f>
        <v>100</v>
      </c>
      <c r="D61" s="30">
        <f>Financing!D10-Financing!D11</f>
        <v>0</v>
      </c>
      <c r="E61" s="30">
        <f>Financing!E10-Financing!E11</f>
        <v>-25</v>
      </c>
      <c r="F61" s="30">
        <f>Financing!F10-Financing!F11</f>
        <v>-25</v>
      </c>
    </row>
    <row r="62" ht="15" customHeight="1" spans="1:6">
      <c r="A62" s="7" t="s">
        <v>374</v>
      </c>
      <c r="B62" s="30">
        <f>Financing!B7</f>
        <v>310</v>
      </c>
      <c r="C62" s="30">
        <f>Financing!C7</f>
        <v>0</v>
      </c>
      <c r="D62" s="30">
        <f>Financing!D7</f>
        <v>0</v>
      </c>
      <c r="E62" s="30">
        <f>Financing!E7</f>
        <v>0</v>
      </c>
      <c r="F62" s="30">
        <f>Financing!F7</f>
        <v>0</v>
      </c>
    </row>
    <row r="64" ht="15" customHeight="1" spans="1:6">
      <c r="A64" s="29" t="s">
        <v>375</v>
      </c>
      <c r="B64" s="32">
        <f>B61+B62</f>
        <v>385</v>
      </c>
      <c r="C64" s="32">
        <f>C61+C62</f>
        <v>100</v>
      </c>
      <c r="D64" s="32">
        <f>D61+D62</f>
        <v>0</v>
      </c>
      <c r="E64" s="32">
        <f>E61+E62</f>
        <v>-25</v>
      </c>
      <c r="F64" s="32">
        <f>F61+F62</f>
        <v>-25</v>
      </c>
    </row>
    <row r="66" ht="15" customHeight="1" spans="1:6">
      <c r="A66" s="29" t="s">
        <v>376</v>
      </c>
      <c r="B66" s="32">
        <f>B60+B64</f>
        <v>329</v>
      </c>
      <c r="C66" s="32">
        <f>C60+C64</f>
        <v>54</v>
      </c>
      <c r="D66" s="32">
        <f>D60+D64</f>
        <v>-79</v>
      </c>
      <c r="E66" s="32">
        <f>E60+E64</f>
        <v>54</v>
      </c>
      <c r="F66" s="32">
        <f>F60+F64</f>
        <v>137</v>
      </c>
    </row>
    <row r="67" ht="15" customHeight="1" spans="1:6">
      <c r="A67" s="34" t="s">
        <v>377</v>
      </c>
      <c r="B67" s="35">
        <f>B66</f>
        <v>329</v>
      </c>
      <c r="C67" s="35">
        <f>B67+C66</f>
        <v>383</v>
      </c>
      <c r="D67" s="35">
        <f>C67+D66</f>
        <v>304</v>
      </c>
      <c r="E67" s="35">
        <f>D67+E66</f>
        <v>358</v>
      </c>
      <c r="F67" s="35">
        <f>E67+F66</f>
        <v>495</v>
      </c>
    </row>
    <row r="68" ht="15" customHeight="1" spans="1:6">
      <c r="A68" s="7" t="s">
        <v>378</v>
      </c>
      <c r="B68" s="31">
        <f>B67-Financing!B8</f>
        <v>19</v>
      </c>
      <c r="C68" s="31">
        <f>C67-Financing!C8</f>
        <v>73</v>
      </c>
      <c r="D68" s="31">
        <f>D67-Financing!D8</f>
        <v>-6</v>
      </c>
      <c r="E68" s="31">
        <f>E67-Financing!E8</f>
        <v>48</v>
      </c>
      <c r="F68" s="31">
        <f>F67-Financing!F8</f>
        <v>185</v>
      </c>
    </row>
    <row r="69" ht="15" customHeight="1" spans="1:6">
      <c r="A69" s="29" t="s">
        <v>379</v>
      </c>
      <c r="B69" s="29">
        <f>-MIN(0,MIN(B68:F68))</f>
        <v>6</v>
      </c>
    </row>
    <row r="70" ht="15" customHeight="1" spans="1:6">
      <c r="A70" s="29" t="s">
        <v>380</v>
      </c>
      <c r="B70" s="29" t="str">
        <f>IF(B18&gt;0,B3,IF(C18&gt;0,C3,IF(D18&gt;0,D3,IF(E18&gt;0,E3,IF(F18&gt;0,F3,"after 2031")))))</f>
        <v>2029</v>
      </c>
    </row>
    <row r="72" ht="15" customHeight="1" spans="1:6">
      <c r="A72" s="6" t="s">
        <v>381</v>
      </c>
      <c r="B72" s="6" t="s">
        <v>87</v>
      </c>
      <c r="C72" s="6" t="s">
        <v>88</v>
      </c>
      <c r="D72" s="6" t="s">
        <v>89</v>
      </c>
      <c r="E72" s="6" t="s">
        <v>90</v>
      </c>
      <c r="F72" s="6" t="s">
        <v>91</v>
      </c>
    </row>
    <row r="73" ht="15" customHeight="1" spans="1:6">
      <c r="A73" s="7" t="s">
        <v>382</v>
      </c>
      <c r="B73" s="31">
        <f>B60</f>
        <v>-56</v>
      </c>
      <c r="C73" s="31">
        <f>C60</f>
        <v>-46</v>
      </c>
      <c r="D73" s="31">
        <f>D60</f>
        <v>-79</v>
      </c>
      <c r="E73" s="31">
        <f>E60</f>
        <v>79</v>
      </c>
      <c r="F73" s="31">
        <f>F60</f>
        <v>162</v>
      </c>
    </row>
    <row r="76" ht="15" customHeight="1" spans="1:6">
      <c r="A76" s="7" t="s">
        <v>383</v>
      </c>
      <c r="B76" s="37">
        <f>1/(1+Assumptions!$B$26)^1</f>
        <v>0.769230769230769</v>
      </c>
      <c r="C76" s="37">
        <f>1/(1+Assumptions!$B$26)^2</f>
        <v>0.591715976331361</v>
      </c>
      <c r="D76" s="37">
        <f>1/(1+Assumptions!$B$26)^3</f>
        <v>0.455166135639508</v>
      </c>
      <c r="E76" s="37">
        <f>1/(1+Assumptions!$B$26)^4</f>
        <v>0.350127796645776</v>
      </c>
      <c r="F76" s="37">
        <f>1/(1+Assumptions!$B$26)^5</f>
        <v>0.269329074342904</v>
      </c>
    </row>
    <row r="77" ht="15" customHeight="1" spans="1:6">
      <c r="A77" s="7" t="s">
        <v>384</v>
      </c>
      <c r="B77" s="31">
        <f>B73*B76</f>
        <v>-43.0769230769231</v>
      </c>
      <c r="C77" s="31">
        <f>C73*C76</f>
        <v>-27.2189349112426</v>
      </c>
      <c r="D77" s="31">
        <f>D73*D76</f>
        <v>-35.9581247155212</v>
      </c>
      <c r="E77" s="31">
        <f>E73*E76</f>
        <v>27.6600959350163</v>
      </c>
      <c r="F77" s="31">
        <f>F73*F76</f>
        <v>43.6313100435505</v>
      </c>
    </row>
    <row r="78" ht="15" customHeight="1" spans="1:6">
      <c r="A78" s="7" t="s">
        <v>385</v>
      </c>
      <c r="B78" s="38">
        <f>Assumptions!$B$27*F8</f>
        <v>5988</v>
      </c>
    </row>
    <row r="79" ht="15" customHeight="1" spans="1:6">
      <c r="A79" s="7" t="s">
        <v>386</v>
      </c>
      <c r="B79" s="38">
        <f>SUM(B77:F77)</f>
        <v>-34.9625767251201</v>
      </c>
    </row>
    <row r="80" ht="15" customHeight="1" spans="1:6">
      <c r="A80" s="7" t="s">
        <v>387</v>
      </c>
      <c r="B80" s="39">
        <f>B79+B78*F76</f>
        <v>1577.77992044019</v>
      </c>
    </row>
    <row r="81" ht="15" customHeight="1" spans="1:6">
      <c r="A81" s="6" t="s">
        <v>388</v>
      </c>
      <c r="B81" s="6" t="s">
        <v>87</v>
      </c>
      <c r="C81" s="6" t="s">
        <v>88</v>
      </c>
      <c r="D81" s="6" t="s">
        <v>89</v>
      </c>
      <c r="E81" s="6" t="s">
        <v>90</v>
      </c>
      <c r="F81" s="6" t="s">
        <v>91</v>
      </c>
    </row>
    <row r="82" ht="15" customHeight="1" spans="1:6">
      <c r="A82" s="7" t="s">
        <v>389</v>
      </c>
      <c r="B82" s="31">
        <f>IF(B86&gt;0,ROUND(B86*IF(B87&lt;=Assumptions!$B$25,Assumptions!$B$23,Assumptions!$B$24),0),0)</f>
        <v>0</v>
      </c>
      <c r="C82" s="31">
        <f>IF(C86&gt;0,ROUND(C86*IF(C87&lt;=Assumptions!$B$25,Assumptions!$B$23,Assumptions!$B$24),0),0)</f>
        <v>0</v>
      </c>
      <c r="D82" s="31">
        <f>IF(D86&gt;0,ROUND(D86*IF(D87&lt;=Assumptions!$B$25,Assumptions!$B$23,Assumptions!$B$24),0),0)</f>
        <v>0</v>
      </c>
      <c r="E82" s="31">
        <f>IF(E86&gt;0,ROUND(E86*IF(E87&lt;=Assumptions!$B$25,Assumptions!$B$23,Assumptions!$B$24),0),0)</f>
        <v>0</v>
      </c>
      <c r="F82" s="31">
        <f>IF(F86&gt;0,ROUND(F86*IF(F87&lt;=Assumptions!$B$25,Assumptions!$B$23,Assumptions!$B$24),0),0)</f>
        <v>15</v>
      </c>
    </row>
    <row r="83" ht="15" customHeight="1" spans="1:6">
      <c r="A83" s="7" t="s">
        <v>390</v>
      </c>
      <c r="B83" s="31">
        <f>0</f>
        <v>0</v>
      </c>
      <c r="C83" s="31">
        <f>B85</f>
        <v>54</v>
      </c>
      <c r="D83" s="31">
        <f>C85</f>
        <v>87</v>
      </c>
      <c r="E83" s="31">
        <f>D85</f>
        <v>57</v>
      </c>
      <c r="F83" s="31">
        <f>E85</f>
        <v>76</v>
      </c>
    </row>
    <row r="84" ht="15" customHeight="1" spans="1:6">
      <c r="A84" s="7" t="s">
        <v>391</v>
      </c>
      <c r="B84" s="31">
        <f>MIN(B83,MAX(B22,0))</f>
        <v>0</v>
      </c>
      <c r="C84" s="31">
        <f>MIN(C83,MAX(C22,0))</f>
        <v>0</v>
      </c>
      <c r="D84" s="31">
        <f>MIN(D83,MAX(D22,0))</f>
        <v>30</v>
      </c>
      <c r="E84" s="31">
        <f>MIN(E83,MAX(E22,0))</f>
        <v>0</v>
      </c>
      <c r="F84" s="31">
        <f>MIN(F83,MAX(F22,0))</f>
        <v>76</v>
      </c>
    </row>
    <row r="85" ht="15" customHeight="1" spans="1:6">
      <c r="A85" s="7" t="s">
        <v>392</v>
      </c>
      <c r="B85" s="31">
        <f>B83-B84+MAX(-B22,0)</f>
        <v>54</v>
      </c>
      <c r="C85" s="31">
        <f>C83-C84+MAX(-C22,0)</f>
        <v>87</v>
      </c>
      <c r="D85" s="31">
        <f>D83-D84+MAX(-D22,0)</f>
        <v>57</v>
      </c>
      <c r="E85" s="31">
        <f>E83-E84+MAX(-E22,0)</f>
        <v>76</v>
      </c>
      <c r="F85" s="31">
        <f>F83-F84+MAX(-F22,0)</f>
        <v>0</v>
      </c>
    </row>
    <row r="86" ht="15" customHeight="1" spans="1:6">
      <c r="A86" s="7" t="s">
        <v>393</v>
      </c>
      <c r="B86" s="31">
        <f>MAX(B22,0)-B84</f>
        <v>0</v>
      </c>
      <c r="C86" s="31">
        <f>MAX(C22,0)-C84</f>
        <v>0</v>
      </c>
      <c r="D86" s="31">
        <f>MAX(D22,0)-D84</f>
        <v>0</v>
      </c>
      <c r="E86" s="31">
        <f>MAX(E22,0)-E84</f>
        <v>0</v>
      </c>
      <c r="F86" s="31">
        <f>MAX(F22,0)-F84</f>
        <v>97</v>
      </c>
    </row>
    <row r="87" ht="15" customHeight="1" spans="1:6">
      <c r="A87" s="7" t="s">
        <v>394</v>
      </c>
      <c r="B87" s="40">
        <f>(B86&gt;0)*1</f>
        <v>0</v>
      </c>
      <c r="C87" s="40">
        <f>B87+(C86&gt;0)*1</f>
        <v>0</v>
      </c>
      <c r="D87" s="40">
        <f>C87+(D86&gt;0)*1</f>
        <v>0</v>
      </c>
      <c r="E87" s="40">
        <f>D87+(E86&gt;0)*1</f>
        <v>0</v>
      </c>
      <c r="F87" s="40">
        <f>E87+(F86&gt;0)*1</f>
        <v>1</v>
      </c>
    </row>
    <row r="89" spans="1:6">
      <c r="A89" s="15" t="s">
        <v>395</v>
      </c>
      <c r="B89">
        <f>B18-B14</f>
        <v>-95</v>
      </c>
      <c r="C89">
        <f>C18-C14</f>
        <v>-173</v>
      </c>
      <c r="D89">
        <f>D18-D14</f>
        <v>-59</v>
      </c>
      <c r="E89">
        <f>E18-E14</f>
        <v>6</v>
      </c>
      <c r="F89">
        <f>F18-F14</f>
        <v>196</v>
      </c>
    </row>
    <row r="90" spans="1:6">
      <c r="A90" t="s">
        <v>396</v>
      </c>
      <c r="B90" t="str">
        <f>IFERROR(INDEX($B$3:$F$3,MATCH(TRUE,INDEX($B$89:$F$89&gt;=0,0),0)),"after 2031")</f>
        <v>2030</v>
      </c>
    </row>
    <row r="91" spans="1:6">
      <c r="A91" t="s">
        <v>397</v>
      </c>
    </row>
  </sheetData>
  <pageMargins left="0.75" right="0.75" top="1" bottom="1" header="0.511811023622047" footer="0.511811023622047"/>
  <pageSetup paperSize="9" orientation="portrait" horizontalDpi="300" verticalDpi="3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xSplit="1" ySplit="3" topLeftCell="B4" activePane="bottomRight" state="frozen"/>
      <selection/>
      <selection pane="topRight"/>
      <selection pane="bottomLeft"/>
      <selection pane="bottomRight" activeCell="A1" sqref="A1"/>
    </sheetView>
  </sheetViews>
  <sheetFormatPr defaultColWidth="8.68181818181818" defaultRowHeight="14.5" outlineLevelRow="7" outlineLevelCol="5"/>
  <cols>
    <col min="1" max="1" width="54" customWidth="1"/>
    <col min="2" max="6" width="12" customWidth="1"/>
    <col min="7" max="7" width="60" customWidth="1"/>
  </cols>
  <sheetData>
    <row r="1" ht="17.35" customHeight="1" spans="1:6">
      <c r="A1" s="5" t="s">
        <v>398</v>
      </c>
    </row>
    <row r="3" ht="15" customHeight="1" spans="1:6">
      <c r="A3" s="6" t="s">
        <v>255</v>
      </c>
      <c r="B3" s="6" t="s">
        <v>87</v>
      </c>
      <c r="C3" s="6" t="s">
        <v>88</v>
      </c>
      <c r="D3" s="6" t="s">
        <v>89</v>
      </c>
      <c r="E3" s="6" t="s">
        <v>90</v>
      </c>
      <c r="F3" s="6" t="s">
        <v>91</v>
      </c>
    </row>
    <row r="4" ht="15" customHeight="1" spans="1:6">
      <c r="A4" s="7" t="s">
        <v>382</v>
      </c>
      <c r="B4" s="30">
        <f>'FINANCIAL MODEL'!B60</f>
        <v>-56</v>
      </c>
      <c r="C4" s="30">
        <f>'FINANCIAL MODEL'!C60</f>
        <v>-46</v>
      </c>
      <c r="D4" s="30">
        <f>'FINANCIAL MODEL'!D60</f>
        <v>-79</v>
      </c>
      <c r="E4" s="30">
        <f>'FINANCIAL MODEL'!E60</f>
        <v>79</v>
      </c>
      <c r="F4" s="30">
        <f>'FINANCIAL MODEL'!F60</f>
        <v>162</v>
      </c>
    </row>
    <row r="5" ht="15" customHeight="1" spans="1:6">
      <c r="A5" s="7" t="s">
        <v>385</v>
      </c>
      <c r="B5" s="31">
        <v>0</v>
      </c>
      <c r="C5" s="31">
        <v>0</v>
      </c>
      <c r="D5" s="31">
        <v>0</v>
      </c>
      <c r="E5" s="31">
        <v>0</v>
      </c>
      <c r="F5" s="31">
        <f>'FINANCIAL MODEL'!B78</f>
        <v>5988</v>
      </c>
    </row>
    <row r="6" ht="15" customHeight="1" spans="1:6">
      <c r="A6" s="29" t="s">
        <v>399</v>
      </c>
      <c r="B6" s="32">
        <f>B4+B5</f>
        <v>-56</v>
      </c>
      <c r="C6" s="32">
        <f>C4+C5</f>
        <v>-46</v>
      </c>
      <c r="D6" s="32">
        <f>D4+D5</f>
        <v>-79</v>
      </c>
      <c r="E6" s="32">
        <f>E4+E5</f>
        <v>79</v>
      </c>
      <c r="F6" s="32">
        <f>F4+F5</f>
        <v>6150</v>
      </c>
    </row>
    <row r="8" ht="15" customHeight="1" spans="1:6">
      <c r="A8" s="7" t="s">
        <v>400</v>
      </c>
      <c r="B8" s="33">
        <f>IFERROR(IRR(B6:F6),"n/a")</f>
        <v>1.98664600182665</v>
      </c>
    </row>
  </sheetData>
  <pageMargins left="0.75" right="0.75" top="1" bottom="1" header="0.511811023622047" footer="0.511811023622047"/>
  <pageSetup paperSize="9" orientation="portrait" horizontalDpi="300" verticalDpi="3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"/>
  <sheetViews>
    <sheetView workbookViewId="0">
      <selection activeCell="A1" sqref="A1"/>
    </sheetView>
  </sheetViews>
  <sheetFormatPr defaultColWidth="8.68181818181818" defaultRowHeight="14.5" outlineLevelCol="1"/>
  <cols>
    <col min="1" max="1" width="54" customWidth="1"/>
    <col min="2" max="2" width="14" customWidth="1"/>
    <col min="3" max="6" width="12" customWidth="1"/>
    <col min="7" max="7" width="60" customWidth="1"/>
  </cols>
  <sheetData>
    <row r="1" ht="17.35" customHeight="1" spans="1:2">
      <c r="A1" s="5" t="s">
        <v>401</v>
      </c>
    </row>
    <row r="3" ht="15" customHeight="1" spans="1:2">
      <c r="A3" s="29" t="s">
        <v>37</v>
      </c>
    </row>
    <row r="4" ht="15" customHeight="1" spans="1:2">
      <c r="A4" t="s">
        <v>402</v>
      </c>
      <c r="B4">
        <f>SUM(Financing!B7:D7)</f>
        <v>310</v>
      </c>
    </row>
    <row r="5" ht="15" customHeight="1" spans="1:2">
      <c r="A5" t="s">
        <v>403</v>
      </c>
      <c r="B5">
        <f>SUM(Financing!B10:D10)</f>
        <v>175</v>
      </c>
    </row>
    <row r="6" ht="15" customHeight="1" spans="1:2">
      <c r="A6" t="s">
        <v>404</v>
      </c>
      <c r="B6">
        <f>SUM(Financing!B15:D15)</f>
        <v>310</v>
      </c>
    </row>
    <row r="7" ht="15" customHeight="1" spans="1:2">
      <c r="A7" s="29" t="s">
        <v>405</v>
      </c>
      <c r="B7" s="29">
        <f>SUM(B4:B6)</f>
        <v>795</v>
      </c>
    </row>
    <row r="9" ht="15" customHeight="1" spans="1:2">
      <c r="A9" s="29" t="s">
        <v>406</v>
      </c>
    </row>
    <row r="10" ht="15" customHeight="1" spans="1:2">
      <c r="A10" t="s">
        <v>407</v>
      </c>
      <c r="B10">
        <f>-(SUM('FINANCIAL MODEL'!B53:D53)-SUM('FINANCIAL MODEL'!B14:D14))</f>
        <v>348</v>
      </c>
    </row>
    <row r="11" ht="15" customHeight="1" spans="1:2">
      <c r="A11" t="s">
        <v>408</v>
      </c>
      <c r="B11">
        <f>'FINANCIAL MODEL'!D31+'FINANCIAL MODEL'!D32-'FINANCIAL MODEL'!D43</f>
        <v>104</v>
      </c>
    </row>
    <row r="12" ht="15" customHeight="1" spans="1:2">
      <c r="A12" t="s">
        <v>409</v>
      </c>
      <c r="B12">
        <f>SUM(Ammortization!B7:D7)</f>
        <v>39</v>
      </c>
    </row>
    <row r="13" ht="15" customHeight="1" spans="1:2">
      <c r="A13" t="s">
        <v>410</v>
      </c>
      <c r="B13">
        <f>SUM(Financing!B11:D11)</f>
        <v>0</v>
      </c>
    </row>
    <row r="14" ht="15" customHeight="1" spans="1:2">
      <c r="A14" t="s">
        <v>411</v>
      </c>
      <c r="B14" s="14">
        <f>'FINANCIAL MODEL'!D67</f>
        <v>304</v>
      </c>
    </row>
    <row r="15" ht="15" customHeight="1" spans="1:2">
      <c r="A15" s="29" t="s">
        <v>412</v>
      </c>
      <c r="B15" s="29">
        <f>SUM(B10:B14)</f>
        <v>795</v>
      </c>
    </row>
    <row r="17" ht="15" customHeight="1" spans="1:2">
      <c r="A17" t="s">
        <v>152</v>
      </c>
      <c r="B17">
        <f>B7-B15</f>
        <v>0</v>
      </c>
    </row>
  </sheetData>
  <pageMargins left="0.75" right="0.75" top="1" bottom="1" header="0.511811023622047" footer="0.511811023622047"/>
  <pageSetup paperSize="9" orientation="portrait" horizontalDpi="300" verticalDpi="3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workbookViewId="0">
      <pane xSplit="1" ySplit="3" topLeftCell="B4" activePane="bottomRight" state="frozen"/>
      <selection/>
      <selection pane="topRight"/>
      <selection pane="bottomLeft"/>
      <selection pane="bottomRight" activeCell="A1" sqref="A1"/>
    </sheetView>
  </sheetViews>
  <sheetFormatPr defaultColWidth="8.68181818181818" defaultRowHeight="14.5" outlineLevelCol="5"/>
  <cols>
    <col min="1" max="1" width="54" customWidth="1"/>
    <col min="2" max="6" width="12" customWidth="1"/>
    <col min="7" max="7" width="60" customWidth="1"/>
  </cols>
  <sheetData>
    <row r="1" ht="17.35" customHeight="1" spans="1:6">
      <c r="A1" s="15" t="s">
        <v>413</v>
      </c>
      <c r="B1" s="17"/>
      <c r="C1" s="17"/>
      <c r="D1" s="17"/>
      <c r="E1" s="17"/>
      <c r="F1" s="17"/>
    </row>
    <row r="2" spans="1:6">
      <c r="A2" s="17"/>
      <c r="B2" s="17"/>
      <c r="C2" s="17"/>
      <c r="D2" s="17"/>
      <c r="E2" s="17"/>
      <c r="F2" s="17"/>
    </row>
    <row r="3" ht="15" customHeight="1" spans="1:6">
      <c r="A3" s="16" t="s">
        <v>255</v>
      </c>
      <c r="B3" s="16" t="s">
        <v>87</v>
      </c>
      <c r="C3" s="16" t="s">
        <v>88</v>
      </c>
      <c r="D3" s="16" t="s">
        <v>89</v>
      </c>
      <c r="E3" s="16" t="s">
        <v>90</v>
      </c>
      <c r="F3" s="16" t="s">
        <v>91</v>
      </c>
    </row>
    <row r="4" ht="15" customHeight="1" spans="1:6">
      <c r="A4" s="15" t="s">
        <v>414</v>
      </c>
      <c r="B4" s="25">
        <f>'FINANCIAL MODEL'!B8</f>
        <v>93</v>
      </c>
      <c r="C4" s="25">
        <f>'FINANCIAL MODEL'!C8</f>
        <v>253</v>
      </c>
      <c r="D4" s="25">
        <f>'FINANCIAL MODEL'!D8</f>
        <v>570</v>
      </c>
      <c r="E4" s="25">
        <f>'FINANCIAL MODEL'!E8</f>
        <v>946</v>
      </c>
      <c r="F4" s="25">
        <f>'FINANCIAL MODEL'!F8</f>
        <v>1497</v>
      </c>
    </row>
    <row r="5" ht="15" customHeight="1" spans="1:6">
      <c r="A5" s="17" t="s">
        <v>415</v>
      </c>
      <c r="B5" s="20">
        <f>ROUND('FINANCIAL MODEL'!B4*Assumptions!$B$13,0)</f>
        <v>9</v>
      </c>
      <c r="C5" s="20">
        <f>ROUND('FINANCIAL MODEL'!C4*Assumptions!$B$13,0)</f>
        <v>15</v>
      </c>
      <c r="D5" s="20">
        <f>ROUND('FINANCIAL MODEL'!D4*Assumptions!$B$13,0)</f>
        <v>29</v>
      </c>
      <c r="E5" s="20">
        <f>ROUND('FINANCIAL MODEL'!E4*Assumptions!$B$13,0)</f>
        <v>39</v>
      </c>
      <c r="F5" s="20">
        <f>ROUND('FINANCIAL MODEL'!F4*Assumptions!$B$13,0)</f>
        <v>59</v>
      </c>
    </row>
    <row r="6" spans="1:6">
      <c r="A6" s="17" t="s">
        <v>416</v>
      </c>
      <c r="B6" s="20">
        <f>ROUND('FINANCIAL MODEL'!B5*Assumptions!$B$14,0)</f>
        <v>3</v>
      </c>
      <c r="C6" s="20">
        <f>ROUND('FINANCIAL MODEL'!C5*Assumptions!$B$14,0)</f>
        <v>14</v>
      </c>
      <c r="D6" s="20">
        <f>ROUND('FINANCIAL MODEL'!D5*Assumptions!$B$14,0)</f>
        <v>32</v>
      </c>
      <c r="E6" s="20">
        <f>ROUND('FINANCIAL MODEL'!E5*Assumptions!$B$14,0)</f>
        <v>56</v>
      </c>
      <c r="F6" s="20">
        <f>ROUND('FINANCIAL MODEL'!F5*Assumptions!$B$14,0)</f>
        <v>86</v>
      </c>
    </row>
    <row r="7" ht="15" customHeight="1" spans="1:6">
      <c r="A7" s="17" t="s">
        <v>417</v>
      </c>
      <c r="B7" s="20">
        <f>ROUND('FINANCIAL MODEL'!B6*Assumptions!$B$15,0)</f>
        <v>0</v>
      </c>
      <c r="C7" s="20">
        <f>ROUND('FINANCIAL MODEL'!C6*Assumptions!$B$15,0)</f>
        <v>2</v>
      </c>
      <c r="D7" s="20">
        <f>ROUND('FINANCIAL MODEL'!D6*Assumptions!$B$15,0)</f>
        <v>7</v>
      </c>
      <c r="E7" s="20">
        <f>ROUND('FINANCIAL MODEL'!E6*Assumptions!$B$15,0)</f>
        <v>15</v>
      </c>
      <c r="F7" s="20">
        <f>ROUND('FINANCIAL MODEL'!F6*Assumptions!$B$15,0)</f>
        <v>26</v>
      </c>
    </row>
    <row r="8" ht="15" customHeight="1" spans="1:6">
      <c r="A8" s="17" t="s">
        <v>418</v>
      </c>
      <c r="B8" s="20">
        <f>ROUND('FINANCIAL MODEL'!B7*Assumptions!$B$16,0)</f>
        <v>3</v>
      </c>
      <c r="C8" s="20">
        <f>ROUND('FINANCIAL MODEL'!C7*Assumptions!$B$16,0)</f>
        <v>10</v>
      </c>
      <c r="D8" s="20">
        <f>ROUND('FINANCIAL MODEL'!D7*Assumptions!$B$16,0)</f>
        <v>22</v>
      </c>
      <c r="E8" s="20">
        <f>ROUND('FINANCIAL MODEL'!E7*Assumptions!$B$16,0)</f>
        <v>41</v>
      </c>
      <c r="F8" s="20">
        <f>ROUND('FINANCIAL MODEL'!F7*Assumptions!$B$16,0)</f>
        <v>68</v>
      </c>
    </row>
    <row r="9" spans="1:6">
      <c r="A9" s="17" t="s">
        <v>419</v>
      </c>
      <c r="B9" s="19">
        <f>'Other expenses'!B16</f>
        <v>2</v>
      </c>
      <c r="C9" s="19">
        <f>'Other expenses'!C16</f>
        <v>15</v>
      </c>
      <c r="D9" s="19">
        <f>'Other expenses'!D16</f>
        <v>22</v>
      </c>
      <c r="E9" s="19">
        <f>'Other expenses'!E16</f>
        <v>28</v>
      </c>
      <c r="F9" s="19">
        <f>'Other expenses'!F16</f>
        <v>34</v>
      </c>
    </row>
    <row r="10" ht="15" customHeight="1" spans="1:6">
      <c r="A10" s="17" t="s">
        <v>420</v>
      </c>
      <c r="B10" s="19">
        <f>'Staff expenses'!B17</f>
        <v>0</v>
      </c>
      <c r="C10" s="19">
        <f>'Staff expenses'!C17</f>
        <v>0</v>
      </c>
      <c r="D10" s="19">
        <f>'Staff expenses'!D17</f>
        <v>62</v>
      </c>
      <c r="E10" s="19">
        <f>'Staff expenses'!E17</f>
        <v>63</v>
      </c>
      <c r="F10" s="19">
        <f>'Staff expenses'!F17</f>
        <v>128</v>
      </c>
    </row>
    <row r="11" ht="15" customHeight="1" spans="1:6">
      <c r="A11" s="17" t="s">
        <v>336</v>
      </c>
      <c r="B11" s="19">
        <f>-'FINANCIAL MODEL'!B9</f>
        <v>2</v>
      </c>
      <c r="C11" s="19">
        <f>-'FINANCIAL MODEL'!C9</f>
        <v>5</v>
      </c>
      <c r="D11" s="19">
        <f>-'FINANCIAL MODEL'!D9</f>
        <v>11</v>
      </c>
      <c r="E11" s="19">
        <f>-'FINANCIAL MODEL'!E9</f>
        <v>19</v>
      </c>
      <c r="F11" s="19">
        <f>-'FINANCIAL MODEL'!F9</f>
        <v>30</v>
      </c>
    </row>
    <row r="12" spans="1:6">
      <c r="A12" s="17" t="s">
        <v>338</v>
      </c>
      <c r="B12" s="19">
        <f>-'FINANCIAL MODEL'!B11</f>
        <v>2</v>
      </c>
      <c r="C12" s="19">
        <f>-'FINANCIAL MODEL'!C11</f>
        <v>5</v>
      </c>
      <c r="D12" s="19">
        <f>-'FINANCIAL MODEL'!D11</f>
        <v>11</v>
      </c>
      <c r="E12" s="19">
        <f>-'FINANCIAL MODEL'!E11</f>
        <v>19</v>
      </c>
      <c r="F12" s="19">
        <f>-'FINANCIAL MODEL'!F11</f>
        <v>30</v>
      </c>
    </row>
    <row r="13" ht="15" customHeight="1" spans="1:6">
      <c r="A13" s="26" t="s">
        <v>339</v>
      </c>
      <c r="B13" s="27">
        <f>SUM(B5:B12)</f>
        <v>21</v>
      </c>
      <c r="C13" s="27">
        <f>SUM(C5:C12)</f>
        <v>66</v>
      </c>
      <c r="D13" s="27">
        <f>SUM(D5:D12)</f>
        <v>196</v>
      </c>
      <c r="E13" s="27">
        <f>SUM(E5:E12)</f>
        <v>280</v>
      </c>
      <c r="F13" s="27">
        <f>SUM(F5:F12)</f>
        <v>461</v>
      </c>
    </row>
    <row r="14" ht="15" customHeight="1" spans="1:6">
      <c r="A14" s="26" t="s">
        <v>340</v>
      </c>
      <c r="B14" s="27">
        <f>B4-B13</f>
        <v>72</v>
      </c>
      <c r="C14" s="27">
        <f>C4-C13</f>
        <v>187</v>
      </c>
      <c r="D14" s="27">
        <f>D4-D13</f>
        <v>374</v>
      </c>
      <c r="E14" s="27">
        <f>E4-E13</f>
        <v>666</v>
      </c>
      <c r="F14" s="27">
        <f>F4-F13</f>
        <v>1036</v>
      </c>
    </row>
    <row r="15" spans="1:6">
      <c r="A15" s="15" t="s">
        <v>350</v>
      </c>
      <c r="B15" s="28">
        <f>IF(B4=0,0,B14/B4)</f>
        <v>0.774193548387097</v>
      </c>
      <c r="C15" s="28">
        <f>IF(C4=0,0,C14/C4)</f>
        <v>0.739130434782609</v>
      </c>
      <c r="D15" s="28">
        <f>IF(D4=0,0,D14/D4)</f>
        <v>0.656140350877193</v>
      </c>
      <c r="E15" s="28">
        <f>IF(E4=0,0,E14/E4)</f>
        <v>0.704016913319239</v>
      </c>
      <c r="F15" s="28">
        <f>IF(F4=0,0,F14/F4)</f>
        <v>0.692050768203073</v>
      </c>
    </row>
    <row r="16" ht="15" customHeight="1" spans="1:6">
      <c r="A16" s="17" t="s">
        <v>421</v>
      </c>
      <c r="B16" s="20">
        <f>B14-'FINANCIAL MODEL'!B13</f>
        <v>0</v>
      </c>
      <c r="C16" s="20">
        <f>C14-'FINANCIAL MODEL'!C13</f>
        <v>0</v>
      </c>
      <c r="D16" s="20">
        <f>D14-'FINANCIAL MODEL'!D13</f>
        <v>0</v>
      </c>
      <c r="E16" s="20">
        <f>E14-'FINANCIAL MODEL'!E13</f>
        <v>0</v>
      </c>
      <c r="F16" s="20">
        <f>F14-'FINANCIAL MODEL'!F13</f>
        <v>0</v>
      </c>
    </row>
    <row r="17" spans="1:6">
      <c r="A17" s="17"/>
      <c r="B17" s="17"/>
      <c r="C17" s="17"/>
      <c r="D17" s="17"/>
      <c r="E17" s="17"/>
      <c r="F17" s="17"/>
    </row>
    <row r="18" spans="1:6">
      <c r="A18" s="15" t="s">
        <v>422</v>
      </c>
      <c r="B18" s="17"/>
      <c r="C18" s="17"/>
      <c r="D18" s="17"/>
      <c r="E18" s="17"/>
      <c r="F18" s="17"/>
    </row>
    <row r="19" spans="1:6">
      <c r="A19" s="17" t="s">
        <v>332</v>
      </c>
      <c r="B19" s="21">
        <f>1-Assumptions!$B$13-Assumptions!$B$12-Assumptions!$B$17</f>
        <v>0.81</v>
      </c>
      <c r="C19" s="17"/>
      <c r="D19" s="17"/>
      <c r="E19" s="17"/>
      <c r="F19" s="17"/>
    </row>
    <row r="20" spans="1:6">
      <c r="A20" s="17" t="s">
        <v>333</v>
      </c>
      <c r="B20" s="21">
        <f>1-Assumptions!$B$14-Assumptions!$B$12-Assumptions!$B$17</f>
        <v>0.81</v>
      </c>
      <c r="C20" s="17"/>
      <c r="D20" s="17"/>
      <c r="E20" s="17"/>
      <c r="F20" s="17"/>
    </row>
    <row r="21" spans="1:6">
      <c r="A21" s="17" t="s">
        <v>334</v>
      </c>
      <c r="B21" s="21">
        <f>1-Assumptions!$B$15-Assumptions!$B$12-Assumptions!$B$17</f>
        <v>0.86</v>
      </c>
      <c r="C21" s="17"/>
      <c r="D21" s="17"/>
      <c r="E21" s="17"/>
      <c r="F21" s="17"/>
    </row>
    <row r="22" spans="1:6">
      <c r="A22" s="17" t="s">
        <v>131</v>
      </c>
      <c r="B22" s="21">
        <f>1-Assumptions!$B$16-Assumptions!$B$12-Assumptions!$B$17</f>
        <v>0.71</v>
      </c>
      <c r="C22" s="17"/>
      <c r="D22" s="17"/>
      <c r="E22" s="17"/>
      <c r="F22" s="17"/>
    </row>
    <row r="23" spans="1:6">
      <c r="A23" s="17"/>
      <c r="B23" s="17"/>
      <c r="C23" s="17"/>
      <c r="D23" s="17"/>
      <c r="E23" s="17"/>
      <c r="F23" s="17"/>
    </row>
    <row r="24" spans="1:6">
      <c r="A24" s="17"/>
      <c r="B24" s="17"/>
      <c r="C24" s="17"/>
      <c r="D24" s="17"/>
      <c r="E24" s="17"/>
      <c r="F24" s="17"/>
    </row>
    <row r="25" spans="1:6">
      <c r="A25" s="17"/>
      <c r="B25" s="17"/>
      <c r="C25" s="17"/>
      <c r="D25" s="17"/>
      <c r="E25" s="17"/>
      <c r="F25" s="17"/>
    </row>
    <row r="26" spans="1:6">
      <c r="A26" s="17"/>
      <c r="B26" s="17"/>
      <c r="C26" s="17"/>
      <c r="D26" s="17"/>
      <c r="E26" s="17"/>
      <c r="F26" s="17"/>
    </row>
    <row r="27" spans="1:6">
      <c r="A27" s="17"/>
      <c r="B27" s="17"/>
      <c r="C27" s="17"/>
      <c r="D27" s="17"/>
      <c r="E27" s="17"/>
      <c r="F27" s="17"/>
    </row>
    <row r="28" spans="1:6">
      <c r="A28" s="17"/>
      <c r="B28" s="17"/>
      <c r="C28" s="17"/>
      <c r="D28" s="17"/>
      <c r="E28" s="17"/>
      <c r="F28" s="17"/>
    </row>
    <row r="29" spans="1:6">
      <c r="A29" s="17"/>
      <c r="B29" s="17"/>
      <c r="C29" s="17"/>
      <c r="D29" s="17"/>
      <c r="E29" s="17"/>
      <c r="F29" s="17"/>
    </row>
    <row r="30" spans="1:6">
      <c r="A30" s="17"/>
      <c r="B30" s="17"/>
      <c r="C30" s="17"/>
      <c r="D30" s="17"/>
      <c r="E30" s="17"/>
      <c r="F30" s="17"/>
    </row>
  </sheetData>
  <pageMargins left="0.75" right="0.75" top="1" bottom="1" header="0.511811023622047" footer="0.511811023622047"/>
  <pageSetup paperSize="9" orientation="portrait" horizontalDpi="300" verticalDpi="3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workbookViewId="0">
      <selection activeCell="A1" sqref="A1"/>
    </sheetView>
  </sheetViews>
  <sheetFormatPr defaultColWidth="9" defaultRowHeight="14.5" outlineLevelCol="5"/>
  <cols>
    <col min="1" max="1" width="58" customWidth="1"/>
    <col min="2" max="6" width="11" customWidth="1"/>
  </cols>
  <sheetData>
    <row r="1" spans="1:6">
      <c r="A1" s="15" t="s">
        <v>423</v>
      </c>
    </row>
    <row r="2" spans="1:6">
      <c r="A2" s="11" t="s">
        <v>424</v>
      </c>
    </row>
    <row r="3" spans="1:6">
      <c r="A3" s="16" t="s">
        <v>187</v>
      </c>
      <c r="B3" s="16" t="s">
        <v>188</v>
      </c>
    </row>
    <row r="4" spans="1:6">
      <c r="A4" s="17" t="s">
        <v>425</v>
      </c>
      <c r="B4" s="18">
        <v>0.15</v>
      </c>
    </row>
    <row r="5" spans="1:6">
      <c r="A5" s="17" t="s">
        <v>426</v>
      </c>
      <c r="B5" s="18">
        <v>0.2</v>
      </c>
    </row>
    <row r="6" spans="1:6">
      <c r="A6" s="17" t="s">
        <v>427</v>
      </c>
      <c r="B6" s="18">
        <v>0.1</v>
      </c>
    </row>
    <row r="7" spans="1:6">
      <c r="A7" t="s">
        <v>428</v>
      </c>
      <c r="B7" s="10">
        <v>0.5</v>
      </c>
      <c r="C7" s="10">
        <v>0.25</v>
      </c>
    </row>
    <row r="8" spans="1:6">
      <c r="A8" s="16" t="s">
        <v>255</v>
      </c>
      <c r="B8" s="16" t="s">
        <v>87</v>
      </c>
      <c r="C8" s="16" t="s">
        <v>88</v>
      </c>
      <c r="D8" s="16" t="s">
        <v>89</v>
      </c>
      <c r="E8" s="16" t="s">
        <v>90</v>
      </c>
      <c r="F8" s="16" t="s">
        <v>91</v>
      </c>
    </row>
    <row r="9" spans="1:6">
      <c r="A9" s="17" t="s">
        <v>271</v>
      </c>
      <c r="B9" s="19">
        <f>Sales!B25</f>
        <v>84.82</v>
      </c>
      <c r="C9" s="19">
        <f>Sales!C25</f>
        <v>292.8</v>
      </c>
      <c r="D9" s="19">
        <f>Sales!D25</f>
        <v>609.4</v>
      </c>
      <c r="E9" s="19">
        <f>Sales!E25</f>
        <v>1035.8</v>
      </c>
      <c r="F9" s="19">
        <f>Sales!F25</f>
        <v>1605.6</v>
      </c>
    </row>
    <row r="10" spans="1:6">
      <c r="A10" s="17" t="s">
        <v>429</v>
      </c>
      <c r="B10" s="20">
        <f>B9</f>
        <v>84.82</v>
      </c>
      <c r="C10" s="20">
        <f>C9-B9</f>
        <v>207.98</v>
      </c>
      <c r="D10" s="20">
        <f>D9-C9</f>
        <v>316.6</v>
      </c>
      <c r="E10" s="20">
        <f>E9-D9</f>
        <v>426.4</v>
      </c>
      <c r="F10" s="20">
        <f>F9-E9</f>
        <v>569.8</v>
      </c>
    </row>
    <row r="11" spans="1:6">
      <c r="A11" s="17" t="s">
        <v>430</v>
      </c>
      <c r="B11" s="21">
        <f>0</f>
        <v>0</v>
      </c>
      <c r="C11" s="21">
        <f>IF(B9=0,0,C9/B9-1)</f>
        <v>2.45201603395426</v>
      </c>
      <c r="D11" s="21">
        <f>IF(C9=0,0,D9/C9-1)</f>
        <v>1.08128415300546</v>
      </c>
      <c r="E11" s="21">
        <f>IF(D9=0,0,E9/D9-1)</f>
        <v>0.699704627502461</v>
      </c>
      <c r="F11" s="21">
        <f>IF(E9=0,0,F9/E9-1)</f>
        <v>0.550106198107743</v>
      </c>
    </row>
    <row r="12" spans="1:6">
      <c r="A12" s="17" t="s">
        <v>414</v>
      </c>
      <c r="B12" s="19">
        <f>'FINANCIAL MODEL'!B8</f>
        <v>93</v>
      </c>
      <c r="C12" s="19">
        <f>'FINANCIAL MODEL'!C8</f>
        <v>253</v>
      </c>
      <c r="D12" s="19">
        <f>'FINANCIAL MODEL'!D8</f>
        <v>570</v>
      </c>
      <c r="E12" s="19">
        <f>'FINANCIAL MODEL'!E8</f>
        <v>946</v>
      </c>
      <c r="F12" s="19">
        <f>'FINANCIAL MODEL'!F8</f>
        <v>1497</v>
      </c>
    </row>
    <row r="13" spans="1:6">
      <c r="A13" s="17" t="s">
        <v>431</v>
      </c>
      <c r="B13" s="21">
        <f>0</f>
        <v>0</v>
      </c>
      <c r="C13" s="21">
        <f>IF(B12=0,0,C12/B12-1)</f>
        <v>1.72043010752688</v>
      </c>
      <c r="D13" s="21">
        <f>IF(C12=0,0,D12/C12-1)</f>
        <v>1.25296442687747</v>
      </c>
      <c r="E13" s="21">
        <f>IF(D12=0,0,E12/D12-1)</f>
        <v>0.659649122807018</v>
      </c>
      <c r="F13" s="21">
        <f>IF(E12=0,0,F12/E12-1)</f>
        <v>0.582452431289641</v>
      </c>
    </row>
    <row r="14" spans="1:6">
      <c r="A14" s="17" t="s">
        <v>350</v>
      </c>
      <c r="B14" s="22">
        <f>'FINANCIAL MODEL'!B25</f>
        <v>0.774193548387097</v>
      </c>
      <c r="C14" s="22">
        <f>'FINANCIAL MODEL'!C25</f>
        <v>0.739130434782609</v>
      </c>
      <c r="D14" s="22">
        <f>'FINANCIAL MODEL'!D25</f>
        <v>0.656140350877193</v>
      </c>
      <c r="E14" s="22">
        <f>'FINANCIAL MODEL'!E25</f>
        <v>0.704016913319239</v>
      </c>
      <c r="F14" s="22">
        <f>'FINANCIAL MODEL'!F25</f>
        <v>0.692050768203073</v>
      </c>
    </row>
    <row r="15" spans="1:6">
      <c r="A15" s="17" t="s">
        <v>432</v>
      </c>
      <c r="B15" s="22">
        <f>'FINANCIAL MODEL'!B26</f>
        <v>-0.537634408602151</v>
      </c>
      <c r="C15" s="22">
        <f>'FINANCIAL MODEL'!C26</f>
        <v>-0.0711462450592885</v>
      </c>
      <c r="D15" s="22">
        <f>'FINANCIAL MODEL'!D26</f>
        <v>0.0894736842105263</v>
      </c>
      <c r="E15" s="22">
        <f>'FINANCIAL MODEL'!E26</f>
        <v>0.00634249471458774</v>
      </c>
      <c r="F15" s="22">
        <f>'FINANCIAL MODEL'!F26</f>
        <v>0.130928523714095</v>
      </c>
    </row>
    <row r="16" spans="1:6">
      <c r="A16" s="17" t="s">
        <v>433</v>
      </c>
      <c r="B16" s="21" t="s">
        <v>434</v>
      </c>
      <c r="C16" s="21" t="s">
        <v>434</v>
      </c>
      <c r="D16" s="21">
        <f>D13+D15</f>
        <v>1.342438111088</v>
      </c>
      <c r="E16" s="21">
        <f>E13+E15</f>
        <v>0.665991617521605</v>
      </c>
      <c r="F16" s="21">
        <f>F13+F15</f>
        <v>0.713380955003736</v>
      </c>
    </row>
    <row r="17" spans="1:6">
      <c r="A17" s="17" t="s">
        <v>435</v>
      </c>
      <c r="B17" s="19">
        <f>Sales!B4+Sales!B11+Sales!B15</f>
        <v>11</v>
      </c>
      <c r="C17" s="19">
        <f>Sales!C4+Sales!C11+Sales!C15</f>
        <v>31</v>
      </c>
      <c r="D17" s="19">
        <f>Sales!D4+Sales!D11+Sales!D15</f>
        <v>58</v>
      </c>
      <c r="E17" s="19">
        <f>Sales!E4+Sales!E11+Sales!E15</f>
        <v>93</v>
      </c>
      <c r="F17" s="19">
        <f>Sales!F4+Sales!F11+Sales!F15</f>
        <v>138</v>
      </c>
    </row>
    <row r="18" spans="1:6">
      <c r="A18" s="17" t="s">
        <v>436</v>
      </c>
      <c r="B18" s="23">
        <f>0</f>
        <v>0</v>
      </c>
      <c r="C18" s="23">
        <f>ROUND(Sales!B4*$B$4+Sales!B11*$B$5+Sales!B15*$B$6,1)</f>
        <v>1.8</v>
      </c>
      <c r="D18" s="23">
        <f>ROUND(Sales!C4*$B$4+Sales!C11*$B$5+Sales!C15*$B$6,1)</f>
        <v>5.1</v>
      </c>
      <c r="E18" s="23">
        <f>ROUND(Sales!D4*$B$4+Sales!D11*$B$5+Sales!D15*$B$6,1)</f>
        <v>9.6</v>
      </c>
      <c r="F18" s="23">
        <f>ROUND(Sales!E4*$B$4+Sales!E11*$B$5+Sales!E15*$B$6,1)</f>
        <v>15.3</v>
      </c>
    </row>
    <row r="19" spans="1:6">
      <c r="A19" s="17" t="s">
        <v>437</v>
      </c>
      <c r="B19" s="23">
        <f>B17</f>
        <v>11</v>
      </c>
      <c r="C19" s="23">
        <f>C17-B17+C18</f>
        <v>21.8</v>
      </c>
      <c r="D19" s="23">
        <f>D17-C17+D18</f>
        <v>32.1</v>
      </c>
      <c r="E19" s="23">
        <f>E17-D17+E18</f>
        <v>44.6</v>
      </c>
      <c r="F19" s="23">
        <f>F17-E17+F18</f>
        <v>60.3</v>
      </c>
    </row>
    <row r="20" spans="1:6">
      <c r="A20" s="17" t="s">
        <v>438</v>
      </c>
      <c r="B20" s="20">
        <f>'Staff expenses'!B8+'Staff expenses'!B11+'Staff expenses'!B20+'Other expenses'!B13+'Other expenses'!B9+ROUND('Staff expenses'!B5*IF('Staff expenses'!B7=0,$B$7,$C$7),0)</f>
        <v>44</v>
      </c>
      <c r="C20" s="20">
        <f>'Staff expenses'!C8+'Staff expenses'!C11+'Staff expenses'!C20+'Other expenses'!C13+'Other expenses'!C9+ROUND('Staff expenses'!C5*IF('Staff expenses'!C7=0,$B$7,$C$7),0)</f>
        <v>113</v>
      </c>
      <c r="D20" s="20">
        <f>'Staff expenses'!D8+'Staff expenses'!D11+'Staff expenses'!D20+'Other expenses'!D13+'Other expenses'!D9+ROUND('Staff expenses'!D5*IF('Staff expenses'!D7=0,$B$7,$C$7),0)</f>
        <v>153</v>
      </c>
      <c r="E20" s="20">
        <f>'Staff expenses'!E8+'Staff expenses'!E11+'Staff expenses'!E20+'Other expenses'!E13+'Other expenses'!E9+ROUND('Staff expenses'!E5*IF('Staff expenses'!E7=0,$B$7,$C$7),0)</f>
        <v>273</v>
      </c>
      <c r="F20" s="20">
        <f>'Staff expenses'!F8+'Staff expenses'!F11+'Staff expenses'!F20+'Other expenses'!F13+'Other expenses'!F9+ROUND('Staff expenses'!F5*IF('Staff expenses'!F7=0,$B$7,$C$7),0)</f>
        <v>363</v>
      </c>
    </row>
    <row r="21" spans="1:6">
      <c r="A21" s="17" t="s">
        <v>439</v>
      </c>
      <c r="B21" s="23">
        <f>IF(B19=0,0,B20/B19)</f>
        <v>4</v>
      </c>
      <c r="C21" s="23">
        <f>IF(C19=0,0,C20/C19)</f>
        <v>5.18348623853211</v>
      </c>
      <c r="D21" s="23">
        <f>IF(D19=0,0,D20/D19)</f>
        <v>4.76635514018692</v>
      </c>
      <c r="E21" s="23">
        <f>IF(E19=0,0,E20/E19)</f>
        <v>6.12107623318386</v>
      </c>
      <c r="F21" s="23">
        <f>IF(F19=0,0,F20/F19)</f>
        <v>6.01990049751244</v>
      </c>
    </row>
    <row r="22" spans="1:6">
      <c r="A22" s="17" t="s">
        <v>440</v>
      </c>
      <c r="B22" s="23">
        <f>IF(B17=0,0,(B9-Sales!B22)/B17)</f>
        <v>7.71090909090909</v>
      </c>
      <c r="C22" s="23">
        <f>IF(C17=0,0,(C9-Sales!C22)/C17)</f>
        <v>8.96129032258064</v>
      </c>
      <c r="D22" s="23">
        <f>IF(D17=0,0,(D9-Sales!D22)/D17)</f>
        <v>9.6448275862069</v>
      </c>
      <c r="E22" s="23">
        <f>IF(E17=0,0,(E9-Sales!E22)/E17)</f>
        <v>9.95483870967742</v>
      </c>
      <c r="F22" s="23">
        <f>IF(F17=0,0,(F9-Sales!F22)/F17)</f>
        <v>10.1855072463768</v>
      </c>
    </row>
    <row r="23" spans="1:6">
      <c r="A23" s="17" t="s">
        <v>441</v>
      </c>
      <c r="B23" s="21">
        <f>$B$4</f>
        <v>0.15</v>
      </c>
      <c r="C23" s="21">
        <f>IF(B17=0,$B$4,C18/B17)</f>
        <v>0.163636363636364</v>
      </c>
      <c r="D23" s="21">
        <f>IF(C17=0,$B$4,D18/C17)</f>
        <v>0.164516129032258</v>
      </c>
      <c r="E23" s="21">
        <f>IF(D17=0,$B$4,E18/D17)</f>
        <v>0.16551724137931</v>
      </c>
      <c r="F23" s="21">
        <f>IF(E17=0,$B$4,F18/E17)</f>
        <v>0.164516129032258</v>
      </c>
    </row>
    <row r="24" spans="1:6">
      <c r="A24" s="17" t="s">
        <v>442</v>
      </c>
      <c r="B24" s="23">
        <f>IF(B22*B14=0,0,B21/(B22*B14/12))</f>
        <v>8.04055647253006</v>
      </c>
      <c r="C24" s="23">
        <f>IF(C22*C14=0,0,C21/(C22*C14/12))</f>
        <v>9.39099399840781</v>
      </c>
      <c r="D24" s="23">
        <f>IF(D22*D14=0,0,D21/(D22*D14/12))</f>
        <v>9.03808516771671</v>
      </c>
      <c r="E24" s="23">
        <f>IF(E22*E14=0,0,E21/(E22*E14/12))</f>
        <v>10.4807343606026</v>
      </c>
      <c r="F24" s="23">
        <f>IF(F22*F14=0,0,F21/(F22*F14/12))</f>
        <v>10.2482554408327</v>
      </c>
    </row>
    <row r="25" spans="1:6">
      <c r="A25" s="17" t="s">
        <v>443</v>
      </c>
      <c r="B25" s="23">
        <f>IF(B23=0,0,B22*B14/B23)</f>
        <v>39.7982404692082</v>
      </c>
      <c r="C25" s="23">
        <f>IF(C23=0,0,C22*C14/C23)</f>
        <v>40.4773258532024</v>
      </c>
      <c r="D25" s="23">
        <f>IF(D23=0,0,D22*D14/D23)</f>
        <v>38.4665053438193</v>
      </c>
      <c r="E25" s="23">
        <f>IF(E23=0,0,E22*E14/E23)</f>
        <v>42.3422645434086</v>
      </c>
      <c r="F25" s="23">
        <f>IF(F23=0,0,F22*F14/F23)</f>
        <v>42.8461826561145</v>
      </c>
    </row>
    <row r="26" spans="1:6">
      <c r="A26" s="17" t="s">
        <v>444</v>
      </c>
      <c r="B26" s="23">
        <f>IF(B21=0,0,B25/B21)</f>
        <v>9.94956011730205</v>
      </c>
      <c r="C26" s="23">
        <f>IF(C21=0,0,C25/C21)</f>
        <v>7.80890003185675</v>
      </c>
      <c r="D26" s="23">
        <f>IF(D21=0,0,D25/D21)</f>
        <v>8.07042367017386</v>
      </c>
      <c r="E26" s="23">
        <f>IF(E21=0,0,E25/E21)</f>
        <v>6.91745420745796</v>
      </c>
      <c r="F26" s="23">
        <f>IF(F21=0,0,F25/F21)</f>
        <v>7.11742373047853</v>
      </c>
    </row>
    <row r="27" spans="1:6">
      <c r="A27" s="17" t="s">
        <v>445</v>
      </c>
      <c r="B27" s="20">
        <f>MAX(0,-'FINANCIAL MODEL'!B60)</f>
        <v>56</v>
      </c>
      <c r="C27" s="20">
        <f>MAX(0,-'FINANCIAL MODEL'!C60)</f>
        <v>46</v>
      </c>
      <c r="D27" s="20">
        <f>MAX(0,-'FINANCIAL MODEL'!D60)</f>
        <v>79</v>
      </c>
      <c r="E27" s="20">
        <f>MAX(0,-'FINANCIAL MODEL'!E60)</f>
        <v>0</v>
      </c>
      <c r="F27" s="20">
        <f>MAX(0,-'FINANCIAL MODEL'!F60)</f>
        <v>0</v>
      </c>
    </row>
    <row r="28" spans="1:6">
      <c r="A28" s="17" t="s">
        <v>446</v>
      </c>
      <c r="B28" s="24">
        <f>IF(B10&lt;=0,0,B27/B10)</f>
        <v>0.660221645838246</v>
      </c>
      <c r="C28" s="24">
        <f>IF(C10&lt;=0,0,C27/C10)</f>
        <v>0.221175112991634</v>
      </c>
      <c r="D28" s="24">
        <f>IF(D10&lt;=0,0,D27/D10)</f>
        <v>0.249526216045483</v>
      </c>
      <c r="E28" s="24">
        <f>IF(E10&lt;=0,0,E27/E10)</f>
        <v>0</v>
      </c>
      <c r="F28" s="24">
        <f>IF(F10&lt;=0,0,F27/F10)</f>
        <v>0</v>
      </c>
    </row>
    <row r="29" spans="1:6">
      <c r="A29" s="17" t="s">
        <v>447</v>
      </c>
      <c r="B29" s="19">
        <f>'FINANCIAL MODEL'!B67</f>
        <v>329</v>
      </c>
      <c r="C29" s="19">
        <f>'FINANCIAL MODEL'!C67</f>
        <v>383</v>
      </c>
      <c r="D29" s="19">
        <f>'FINANCIAL MODEL'!D67</f>
        <v>304</v>
      </c>
      <c r="E29" s="19">
        <f>'FINANCIAL MODEL'!E67</f>
        <v>358</v>
      </c>
      <c r="F29" s="19">
        <f>'FINANCIAL MODEL'!F67</f>
        <v>495</v>
      </c>
    </row>
    <row r="30" spans="1:6">
      <c r="A30" s="17" t="s">
        <v>448</v>
      </c>
      <c r="B30" s="23">
        <f>IF(B27=0,"self-funding",B29/(B27/12))</f>
        <v>70.5</v>
      </c>
      <c r="C30" s="23">
        <f>IF(C27=0,"self-funding",C29/(C27/12))</f>
        <v>99.9130434782609</v>
      </c>
      <c r="D30" s="23">
        <f>IF(D27=0,"self-funding",D29/(D27/12))</f>
        <v>46.1772151898734</v>
      </c>
      <c r="E30" s="23" t="str">
        <f>IF(E27=0,"self-funding",E29/(E27/12))</f>
        <v>self-funding</v>
      </c>
      <c r="F30" s="23" t="str">
        <f>IF(F27=0,"self-funding",F29/(F27/12))</f>
        <v>self-funding</v>
      </c>
    </row>
    <row r="32" spans="1:6">
      <c r="A32" s="11" t="s">
        <v>449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A1" sqref="A1"/>
    </sheetView>
  </sheetViews>
  <sheetFormatPr defaultColWidth="8.68181818181818" defaultRowHeight="14.5" outlineLevelRow="5" outlineLevelCol="3"/>
  <cols>
    <col min="1" max="1" width="54" customWidth="1"/>
    <col min="2" max="6" width="12" customWidth="1"/>
    <col min="7" max="7" width="60" customWidth="1"/>
  </cols>
  <sheetData>
    <row r="1" ht="17.35" customHeight="1" spans="1:4">
      <c r="A1" s="5" t="s">
        <v>450</v>
      </c>
    </row>
    <row r="3" ht="15" customHeight="1" spans="1:4">
      <c r="A3" t="s">
        <v>451</v>
      </c>
      <c r="B3">
        <v>3</v>
      </c>
      <c r="C3">
        <v>4</v>
      </c>
      <c r="D3">
        <v>6</v>
      </c>
    </row>
    <row r="4" ht="15" customHeight="1" spans="1:4">
      <c r="A4" s="13">
        <v>0.25</v>
      </c>
      <c r="B4" s="14">
        <f>NPV($A4,'FINANCIAL MODEL'!$B$60:$F$60)+B$3*'FINANCIAL MODEL'!$F$8/(1+$A4)^5</f>
        <v>1442.36544</v>
      </c>
      <c r="C4" s="14">
        <f>NPV($A4,'FINANCIAL MODEL'!$B$60:$F$60)+C$3*'FINANCIAL MODEL'!$F$8/(1+$A4)^5</f>
        <v>1932.9024</v>
      </c>
      <c r="D4" s="14">
        <f>NPV($A4,'FINANCIAL MODEL'!$B$60:$F$60)+D$3*'FINANCIAL MODEL'!$F$8/(1+$A4)^5</f>
        <v>2913.97632</v>
      </c>
    </row>
    <row r="5" ht="15" customHeight="1" spans="1:4">
      <c r="A5" s="13">
        <v>0.3</v>
      </c>
      <c r="B5" s="14">
        <f>NPV($A5,'FINANCIAL MODEL'!$B$60:$F$60)+B$3*'FINANCIAL MODEL'!$F$8/(1+$A5)^5</f>
        <v>1174.59429614886</v>
      </c>
      <c r="C5" s="14">
        <f>NPV($A5,'FINANCIAL MODEL'!$B$60:$F$60)+C$3*'FINANCIAL MODEL'!$F$8/(1+$A5)^5</f>
        <v>1577.77992044019</v>
      </c>
      <c r="D5" s="14">
        <f>NPV($A5,'FINANCIAL MODEL'!$B$60:$F$60)+D$3*'FINANCIAL MODEL'!$F$8/(1+$A5)^5</f>
        <v>2384.15116902285</v>
      </c>
    </row>
    <row r="6" ht="15" customHeight="1" spans="1:4">
      <c r="A6" s="13">
        <v>0.35</v>
      </c>
      <c r="B6" s="14">
        <f>NPV($A6,'FINANCIAL MODEL'!$B$60:$F$60)+B$3*'FINANCIAL MODEL'!$F$8/(1+$A6)^5</f>
        <v>962.635751977485</v>
      </c>
      <c r="C6" s="14">
        <f>NPV($A6,'FINANCIAL MODEL'!$B$60:$F$60)+C$3*'FINANCIAL MODEL'!$F$8/(1+$A6)^5</f>
        <v>1296.4869644775</v>
      </c>
      <c r="D6" s="14">
        <f>NPV($A6,'FINANCIAL MODEL'!$B$60:$F$60)+D$3*'FINANCIAL MODEL'!$F$8/(1+$A6)^5</f>
        <v>1964.18938947754</v>
      </c>
    </row>
  </sheetData>
  <pageMargins left="0.75" right="0.75" top="1" bottom="1" header="0.511811023622047" footer="0.511811023622047"/>
  <pageSetup paperSize="9" orientation="portrait" horizontalDpi="300" verticalDpi="300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A1" sqref="A1"/>
    </sheetView>
  </sheetViews>
  <sheetFormatPr defaultColWidth="8.68181818181818" defaultRowHeight="14.5" outlineLevelCol="5"/>
  <cols>
    <col min="1" max="1" width="54" customWidth="1"/>
    <col min="2" max="6" width="12" customWidth="1"/>
    <col min="7" max="7" width="60" customWidth="1"/>
  </cols>
  <sheetData>
    <row r="1" ht="17.35" customHeight="1" spans="1:6">
      <c r="A1" s="5" t="s">
        <v>452</v>
      </c>
    </row>
    <row r="3" ht="15" customHeight="1" spans="1:6">
      <c r="A3" s="6" t="s">
        <v>453</v>
      </c>
      <c r="B3" s="6" t="s">
        <v>454</v>
      </c>
      <c r="C3" s="6" t="s">
        <v>455</v>
      </c>
      <c r="D3" s="6" t="s">
        <v>456</v>
      </c>
      <c r="E3" s="6" t="s">
        <v>457</v>
      </c>
      <c r="F3" s="6" t="s">
        <v>458</v>
      </c>
    </row>
    <row r="4" ht="15" customHeight="1" spans="1:6">
      <c r="A4" t="s">
        <v>92</v>
      </c>
      <c r="B4">
        <v>773</v>
      </c>
      <c r="C4">
        <v>72</v>
      </c>
      <c r="D4">
        <v>2031</v>
      </c>
      <c r="E4">
        <v>166</v>
      </c>
      <c r="F4">
        <v>809</v>
      </c>
    </row>
    <row r="5" ht="15" customHeight="1" spans="1:6">
      <c r="A5" t="s">
        <v>98</v>
      </c>
      <c r="B5">
        <v>1497</v>
      </c>
      <c r="C5">
        <v>196</v>
      </c>
      <c r="D5">
        <v>2029</v>
      </c>
      <c r="E5">
        <v>304</v>
      </c>
      <c r="F5">
        <v>1606</v>
      </c>
    </row>
    <row r="6" ht="15" customHeight="1" spans="1:6">
      <c r="A6" t="s">
        <v>99</v>
      </c>
      <c r="B6">
        <v>2251</v>
      </c>
      <c r="C6">
        <v>769</v>
      </c>
      <c r="D6">
        <v>2028</v>
      </c>
      <c r="E6">
        <v>351</v>
      </c>
      <c r="F6">
        <v>2395</v>
      </c>
    </row>
    <row r="7" spans="1:6">
      <c r="A7" t="s">
        <v>459</v>
      </c>
      <c r="B7">
        <v>1497</v>
      </c>
      <c r="C7">
        <v>196</v>
      </c>
      <c r="D7">
        <v>2030</v>
      </c>
      <c r="E7">
        <v>138</v>
      </c>
      <c r="F7">
        <v>1606</v>
      </c>
    </row>
    <row r="8" ht="15" customHeight="1" spans="1:6">
      <c r="A8" t="s">
        <v>460</v>
      </c>
      <c r="B8" t="str">
        <f>IF(AND('FINANCIAL MODEL'!F8=INDEX(B4:B6,Assumptions!B4),'FINANCIAL MODEL'!F18=INDEX(C4:C6,Assumptions!B4)),"OK","CHECK")</f>
        <v>OK</v>
      </c>
    </row>
    <row r="10" spans="1:6">
      <c r="A10" t="s">
        <v>461</v>
      </c>
    </row>
    <row r="11" spans="1:6">
      <c r="A11" t="s">
        <v>462</v>
      </c>
      <c r="B11" t="s">
        <v>463</v>
      </c>
      <c r="C11" t="s">
        <v>464</v>
      </c>
      <c r="D11" t="s">
        <v>455</v>
      </c>
      <c r="E11" t="s">
        <v>456</v>
      </c>
      <c r="F11" t="s">
        <v>465</v>
      </c>
    </row>
    <row r="12" spans="1:6">
      <c r="A12" t="s">
        <v>466</v>
      </c>
      <c r="B12" t="s">
        <v>467</v>
      </c>
      <c r="C12" s="12">
        <v>0.773</v>
      </c>
      <c r="D12">
        <v>317</v>
      </c>
      <c r="E12">
        <v>2028</v>
      </c>
      <c r="F12">
        <v>335</v>
      </c>
    </row>
    <row r="13" spans="1:6">
      <c r="A13" t="s">
        <v>468</v>
      </c>
      <c r="B13" t="s">
        <v>469</v>
      </c>
      <c r="C13" s="12">
        <v>0.633</v>
      </c>
      <c r="D13">
        <v>107</v>
      </c>
      <c r="E13">
        <v>2029</v>
      </c>
      <c r="F13">
        <v>249</v>
      </c>
    </row>
    <row r="14" spans="1:6">
      <c r="A14" t="s">
        <v>470</v>
      </c>
      <c r="B14" t="s">
        <v>471</v>
      </c>
      <c r="C14" s="12">
        <v>0.605</v>
      </c>
      <c r="D14">
        <v>129</v>
      </c>
      <c r="E14">
        <v>2030</v>
      </c>
      <c r="F14">
        <v>186</v>
      </c>
    </row>
    <row r="16" spans="1:6">
      <c r="A16" t="s">
        <v>472</v>
      </c>
    </row>
  </sheetData>
  <pageMargins left="0.75" right="0.75" top="1" bottom="1" header="0.511811023622047" footer="0.511811023622047"/>
  <pageSetup paperSize="9" orientation="portrait" horizontalDpi="300" verticalDpi="300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A1" sqref="A1"/>
    </sheetView>
  </sheetViews>
  <sheetFormatPr defaultColWidth="8.68181818181818" defaultRowHeight="14.5" outlineLevelCol="4"/>
  <cols>
    <col min="1" max="1" width="48" customWidth="1"/>
    <col min="2" max="3" width="14" customWidth="1"/>
    <col min="4" max="4" width="16" customWidth="1"/>
    <col min="5" max="5" width="50" customWidth="1"/>
  </cols>
  <sheetData>
    <row r="1" ht="17.35" customHeight="1" spans="1:5">
      <c r="A1" s="5" t="s">
        <v>473</v>
      </c>
    </row>
    <row r="3" ht="15" customHeight="1" spans="1:5">
      <c r="A3" s="6" t="s">
        <v>474</v>
      </c>
      <c r="B3" s="6" t="s">
        <v>475</v>
      </c>
      <c r="C3" s="6" t="s">
        <v>476</v>
      </c>
      <c r="D3" s="6" t="s">
        <v>477</v>
      </c>
      <c r="E3" s="6" t="s">
        <v>478</v>
      </c>
    </row>
    <row r="4" ht="15" customHeight="1" spans="1:5">
      <c r="A4" s="7" t="s">
        <v>479</v>
      </c>
      <c r="B4" s="8"/>
      <c r="C4" s="7">
        <v>8</v>
      </c>
      <c r="D4" s="7"/>
      <c r="E4" s="7"/>
    </row>
    <row r="5" ht="15" customHeight="1" spans="1:5">
      <c r="A5" s="7" t="s">
        <v>480</v>
      </c>
      <c r="B5" s="8"/>
      <c r="C5" s="9">
        <v>0.7</v>
      </c>
      <c r="D5" s="7"/>
      <c r="E5" s="7"/>
    </row>
    <row r="6" ht="15" customHeight="1" spans="1:5">
      <c r="A6" s="7" t="s">
        <v>481</v>
      </c>
      <c r="B6" s="8"/>
      <c r="C6" s="9">
        <v>0.6</v>
      </c>
      <c r="D6" s="7"/>
      <c r="E6" s="7"/>
    </row>
    <row r="7" ht="15" customHeight="1" spans="1:5">
      <c r="A7" s="7" t="s">
        <v>482</v>
      </c>
      <c r="B7" s="8"/>
      <c r="C7" s="9">
        <v>0.5</v>
      </c>
      <c r="D7" s="9">
        <v>0.5</v>
      </c>
      <c r="E7" s="7"/>
    </row>
    <row r="8" ht="15" customHeight="1" spans="1:5">
      <c r="A8" s="7" t="s">
        <v>483</v>
      </c>
      <c r="B8" s="8"/>
      <c r="C8" s="7">
        <v>68</v>
      </c>
      <c r="D8" s="7"/>
      <c r="E8" s="7"/>
    </row>
    <row r="9" ht="15" customHeight="1" spans="1:5">
      <c r="A9" s="7" t="s">
        <v>484</v>
      </c>
      <c r="B9" s="8"/>
      <c r="C9" s="9">
        <v>0.8</v>
      </c>
      <c r="D9" s="7"/>
      <c r="E9" s="7"/>
    </row>
    <row r="10" ht="15" customHeight="1" spans="1:5">
      <c r="A10" s="7" t="s">
        <v>485</v>
      </c>
      <c r="B10" s="8"/>
      <c r="C10" s="7">
        <v>2</v>
      </c>
      <c r="D10" s="7"/>
      <c r="E10" s="7"/>
    </row>
    <row r="11" ht="15" customHeight="1" spans="1:5">
      <c r="A11" s="7" t="s">
        <v>486</v>
      </c>
      <c r="B11" s="8"/>
      <c r="C11" s="7">
        <v>0</v>
      </c>
      <c r="D11" s="7">
        <v>5</v>
      </c>
      <c r="E11" s="7" t="s">
        <v>487</v>
      </c>
    </row>
    <row r="12" ht="15" customHeight="1" spans="1:5">
      <c r="A12" s="7" t="s">
        <v>488</v>
      </c>
      <c r="B12" s="10">
        <v>0.94</v>
      </c>
      <c r="C12" s="9">
        <v>0.9</v>
      </c>
      <c r="D12" s="9">
        <v>0.8</v>
      </c>
      <c r="E12" s="11" t="s">
        <v>489</v>
      </c>
    </row>
    <row r="13" ht="15" customHeight="1" spans="1:5">
      <c r="A13" s="7" t="s">
        <v>490</v>
      </c>
      <c r="B13" s="8"/>
      <c r="C13" s="9">
        <v>0.08</v>
      </c>
      <c r="D13" s="9">
        <v>0.05</v>
      </c>
      <c r="E13" s="7" t="s">
        <v>491</v>
      </c>
    </row>
    <row r="14" ht="15" customHeight="1" spans="1:5">
      <c r="A14" s="7" t="s">
        <v>492</v>
      </c>
      <c r="B14" s="8"/>
      <c r="C14" s="7">
        <v>3</v>
      </c>
      <c r="D14" s="7" t="s">
        <v>493</v>
      </c>
      <c r="E14" s="7"/>
    </row>
    <row r="15" spans="1:5">
      <c r="A15" t="s">
        <v>494</v>
      </c>
      <c r="B15" s="10">
        <v>0.14</v>
      </c>
      <c r="C15" s="10">
        <v>0.15</v>
      </c>
      <c r="D15" s="10">
        <v>0.15</v>
      </c>
      <c r="E15" s="11" t="s">
        <v>495</v>
      </c>
    </row>
  </sheetData>
  <pageMargins left="0.75" right="0.75" top="1" bottom="1" header="0.511811023622047" footer="0.511811023622047"/>
  <pageSetup paperSize="9" orientation="portrait" horizontalDpi="300" verticalDpi="300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workbookViewId="0">
      <selection activeCell="A1" sqref="A1"/>
    </sheetView>
  </sheetViews>
  <sheetFormatPr defaultColWidth="9" defaultRowHeight="14.5" outlineLevelCol="2"/>
  <cols>
    <col min="1" max="1" width="60" customWidth="1"/>
    <col min="2" max="2" width="40" customWidth="1"/>
    <col min="3" max="3" width="62" customWidth="1"/>
  </cols>
  <sheetData>
    <row r="1" ht="17" customHeight="1" spans="1:3">
      <c r="A1" s="1" t="s">
        <v>496</v>
      </c>
    </row>
    <row r="2" spans="1:3">
      <c r="A2" t="s">
        <v>497</v>
      </c>
    </row>
    <row r="4" spans="1:3">
      <c r="A4" s="2" t="s">
        <v>498</v>
      </c>
      <c r="B4" s="2" t="s">
        <v>190</v>
      </c>
      <c r="C4" s="2" t="s">
        <v>499</v>
      </c>
    </row>
    <row r="5" spans="1:3">
      <c r="A5" s="3" t="s">
        <v>500</v>
      </c>
      <c r="B5" t="s">
        <v>501</v>
      </c>
      <c r="C5" s="4" t="s">
        <v>502</v>
      </c>
    </row>
    <row r="6" spans="1:3">
      <c r="A6" s="3" t="s">
        <v>503</v>
      </c>
      <c r="B6" t="s">
        <v>504</v>
      </c>
      <c r="C6" s="4" t="s">
        <v>505</v>
      </c>
    </row>
    <row r="7" spans="1:3">
      <c r="A7" s="3" t="s">
        <v>506</v>
      </c>
      <c r="B7" t="s">
        <v>507</v>
      </c>
      <c r="C7" s="4" t="s">
        <v>508</v>
      </c>
    </row>
    <row r="8" spans="1:3">
      <c r="A8" s="3" t="s">
        <v>509</v>
      </c>
      <c r="B8" t="s">
        <v>221</v>
      </c>
      <c r="C8" s="4" t="s">
        <v>510</v>
      </c>
    </row>
    <row r="9" spans="1:3">
      <c r="A9" s="3" t="s">
        <v>511</v>
      </c>
      <c r="B9" t="s">
        <v>512</v>
      </c>
      <c r="C9" s="4" t="s">
        <v>513</v>
      </c>
    </row>
    <row r="10" spans="1:3">
      <c r="A10" s="3" t="s">
        <v>514</v>
      </c>
      <c r="B10" t="s">
        <v>515</v>
      </c>
      <c r="C10" s="4" t="s">
        <v>516</v>
      </c>
    </row>
    <row r="11" spans="1:3">
      <c r="A11" s="3" t="s">
        <v>517</v>
      </c>
      <c r="B11" t="s">
        <v>518</v>
      </c>
      <c r="C11" s="4" t="s">
        <v>109</v>
      </c>
    </row>
    <row r="12" spans="1:3">
      <c r="A12" s="3" t="s">
        <v>519</v>
      </c>
      <c r="B12" t="s">
        <v>520</v>
      </c>
      <c r="C12" s="4" t="s">
        <v>112</v>
      </c>
    </row>
    <row r="13" spans="1:3">
      <c r="A13" s="3" t="s">
        <v>521</v>
      </c>
      <c r="B13" t="s">
        <v>522</v>
      </c>
      <c r="C13" s="4" t="s">
        <v>116</v>
      </c>
    </row>
    <row r="14" spans="1:3">
      <c r="A14" s="3" t="s">
        <v>523</v>
      </c>
      <c r="B14" t="s">
        <v>524</v>
      </c>
      <c r="C14" s="4" t="s">
        <v>124</v>
      </c>
    </row>
    <row r="15" spans="1:3">
      <c r="A15" s="3" t="s">
        <v>525</v>
      </c>
      <c r="B15" t="s">
        <v>526</v>
      </c>
      <c r="C15" s="4" t="s">
        <v>128</v>
      </c>
    </row>
    <row r="16" spans="1:3">
      <c r="A16" s="3" t="s">
        <v>527</v>
      </c>
      <c r="B16" t="s">
        <v>528</v>
      </c>
      <c r="C16" s="4" t="s">
        <v>132</v>
      </c>
    </row>
    <row r="17" spans="1:3">
      <c r="A17" s="3" t="s">
        <v>529</v>
      </c>
      <c r="B17" t="s">
        <v>530</v>
      </c>
      <c r="C17" s="4" t="s">
        <v>136</v>
      </c>
    </row>
    <row r="18" spans="1:3">
      <c r="A18" s="3" t="s">
        <v>531</v>
      </c>
      <c r="B18" t="s">
        <v>518</v>
      </c>
      <c r="C18" s="4" t="s">
        <v>140</v>
      </c>
    </row>
    <row r="19" spans="1:3">
      <c r="A19" s="3" t="s">
        <v>532</v>
      </c>
      <c r="B19" t="s">
        <v>533</v>
      </c>
      <c r="C19" s="4" t="s">
        <v>534</v>
      </c>
    </row>
    <row r="20" spans="1:3">
      <c r="A20" s="3" t="s">
        <v>535</v>
      </c>
      <c r="B20" t="s">
        <v>536</v>
      </c>
      <c r="C20" s="4" t="s">
        <v>537</v>
      </c>
    </row>
    <row r="21" spans="1:3">
      <c r="A21" s="3" t="s">
        <v>538</v>
      </c>
      <c r="B21" t="s">
        <v>539</v>
      </c>
      <c r="C21" s="4" t="s">
        <v>540</v>
      </c>
    </row>
    <row r="22" spans="1:3">
      <c r="A22" s="3" t="s">
        <v>541</v>
      </c>
      <c r="B22" t="s">
        <v>542</v>
      </c>
      <c r="C22" s="4" t="s">
        <v>150</v>
      </c>
    </row>
    <row r="23" spans="1:3">
      <c r="A23" s="3" t="s">
        <v>543</v>
      </c>
      <c r="B23" t="s">
        <v>544</v>
      </c>
      <c r="C23" s="4" t="s">
        <v>545</v>
      </c>
    </row>
    <row r="24" spans="1:3">
      <c r="A24" s="3" t="s">
        <v>546</v>
      </c>
      <c r="B24" t="s">
        <v>547</v>
      </c>
      <c r="C24" s="4" t="s">
        <v>548</v>
      </c>
    </row>
    <row r="25" spans="1:3">
      <c r="A25" s="3" t="s">
        <v>549</v>
      </c>
      <c r="B25" t="s">
        <v>550</v>
      </c>
      <c r="C25" s="4" t="s">
        <v>551</v>
      </c>
    </row>
    <row r="26" spans="1:3">
      <c r="A26" s="3" t="s">
        <v>552</v>
      </c>
      <c r="B26" t="s">
        <v>553</v>
      </c>
      <c r="C26" s="4" t="s">
        <v>554</v>
      </c>
    </row>
    <row r="27" spans="1:3">
      <c r="A27" s="3" t="s">
        <v>555</v>
      </c>
      <c r="B27" t="s">
        <v>556</v>
      </c>
      <c r="C27" s="4" t="s">
        <v>557</v>
      </c>
    </row>
    <row r="28" spans="1:3">
      <c r="A28" s="3" t="s">
        <v>558</v>
      </c>
      <c r="B28" t="s">
        <v>559</v>
      </c>
      <c r="C28" s="4" t="s">
        <v>560</v>
      </c>
    </row>
    <row r="29" spans="1:3">
      <c r="A29" s="3" t="s">
        <v>561</v>
      </c>
      <c r="B29" t="s">
        <v>562</v>
      </c>
      <c r="C29" s="4" t="s">
        <v>563</v>
      </c>
    </row>
    <row r="30" spans="1:3">
      <c r="A30" s="3" t="s">
        <v>564</v>
      </c>
      <c r="B30" t="s">
        <v>565</v>
      </c>
      <c r="C30" s="4" t="s">
        <v>566</v>
      </c>
    </row>
    <row r="31" spans="1:3">
      <c r="A31" s="3" t="s">
        <v>567</v>
      </c>
      <c r="B31" t="s">
        <v>568</v>
      </c>
      <c r="C31" s="4" t="s">
        <v>569</v>
      </c>
    </row>
    <row r="32" spans="1:3">
      <c r="A32" s="3" t="s">
        <v>570</v>
      </c>
      <c r="B32" t="s">
        <v>571</v>
      </c>
      <c r="C32" s="4" t="s">
        <v>572</v>
      </c>
    </row>
    <row r="33" spans="1:3">
      <c r="A33" s="3" t="s">
        <v>573</v>
      </c>
      <c r="B33" t="s">
        <v>574</v>
      </c>
      <c r="C33" s="4" t="s">
        <v>575</v>
      </c>
    </row>
    <row r="35" spans="1:3">
      <c r="A35" t="s">
        <v>576</v>
      </c>
    </row>
  </sheetData>
  <hyperlinks>
    <hyperlink ref="C5" r:id="rId1" display="T01_Hassan_et_al_2015_Quest_to_Automate_Fact-Checking.pdf"/>
    <hyperlink ref="C6" r:id="rId2" display="T03_Fan_et_al_2020_Generating_Fact_Checking_Briefs.pdf"/>
    <hyperlink ref="C7" r:id="rId3" display="T02_Thorne_Vlachos_2018_COLING_AFC_survey.pdf"/>
    <hyperlink ref="C8" r:id="rId4" display="T08_NiemanLab_2026_Google_Backstory_capture.txt"/>
    <hyperlink ref="C9" r:id="rId5" display="C05_INE_EAES2024_hourly_wage_capture.txt"/>
    <hyperlink ref="C10" r:id="rId6" display="C01_BOE_Orden_PJC_297_2026_cotizacion.pdf"/>
    <hyperlink ref="C11" r:id="rId7" display="M03_Vendr_Meltwater_pricing_capture.txt"/>
    <hyperlink ref="C12" r:id="rId8" display="M04b_SpendHound_Cision_pricing.pdf"/>
    <hyperlink ref="C13" r:id="rId9" display="M06_Toolradar_Brandwatch.pdf"/>
    <hyperlink ref="C14" r:id="rId10" display="M08_iTechGuides_AI_factchecking_tools.pdf"/>
    <hyperlink ref="C15" r:id="rId11" display="M11_Viralbuster_pricing.pdf"/>
    <hyperlink ref="C16" r:id="rId12" display="M12_Apify_verify_API.pdf"/>
    <hyperlink ref="C17" r:id="rId13" display="M09_TinEye_API_pricing_capture.txt"/>
    <hyperlink ref="C18" r:id="rId14" display="M17_Vendr_Recorded_Future_pricing_capture.txt"/>
    <hyperlink ref="C19" r:id="rId15" display="P01_Google_Gemini_API_pricing_capture.txt"/>
    <hyperlink ref="C20" r:id="rId16" display="P02_Brave_Search_API_pricing_capture.txt"/>
    <hyperlink ref="C21" r:id="rId17" display="P03_Google_Cloud_Vision_pricing_capture.txt"/>
    <hyperlink ref="C22" r:id="rId18" display="X01_ECB_EUR_USD_reference_rate.pdf"/>
    <hyperlink ref="C23" r:id="rId19" display="X03_IntuitionLabs_cloud_GPU_prices.pdf"/>
    <hyperlink ref="C24" r:id="rId20" display="F02_ENISA_Jovenes_Emprendedores_ASEST_summary.pdf"/>
    <hyperlink ref="C25" r:id="rId21" display="F03_ACCIO_Startup_Capital_2024_fitxa_informativa.pdf"/>
    <hyperlink ref="C26" r:id="rId22" display="F01_CDTI_NEOTEC_2026.pdf"/>
    <hyperlink ref="C27" r:id="rId23" display="L02_BOE_Ley_27-2014_IS_art29.pdf"/>
    <hyperlink ref="C28" r:id="rId24" display="L01_BOE_Ley_9-2017_LCSP_contrato_menor.pdf"/>
    <hyperlink ref="C29" r:id="rId25" display="I07_cost_and_accuracy_analysis_ledger.md"/>
    <hyperlink ref="C30" r:id="rId26" display="I02_pricing_ledger_rates.json"/>
    <hyperlink ref="C31" r:id="rId27" display="I01_current_status_report_v7.md"/>
    <hyperlink ref="C32" r:id="rId28" display="I08_founder_decisions_feedback_round1_HIJ.md"/>
    <hyperlink ref="C33" r:id="rId29" display="I05a_Market_Study_pages_25-26_market_size_and_PR_firms.pdf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INTRODUCCIÓN</vt:lpstr>
      <vt:lpstr>Assumptions</vt:lpstr>
      <vt:lpstr>Pricing research</vt:lpstr>
      <vt:lpstr>Cost of a check</vt:lpstr>
      <vt:lpstr>Sales</vt:lpstr>
      <vt:lpstr>Staff expenses</vt:lpstr>
      <vt:lpstr>Other expenses</vt:lpstr>
      <vt:lpstr>I+D expenses</vt:lpstr>
      <vt:lpstr>Ammortization</vt:lpstr>
      <vt:lpstr>Financing</vt:lpstr>
      <vt:lpstr>FINANCIAL MODEL</vt:lpstr>
      <vt:lpstr>TIR</vt:lpstr>
      <vt:lpstr>SaU</vt:lpstr>
      <vt:lpstr>Product margin</vt:lpstr>
      <vt:lpstr>SaaS metrics</vt:lpstr>
      <vt:lpstr>Sensitivity</vt:lpstr>
      <vt:lpstr>Scenarios</vt:lpstr>
      <vt:lpstr>Pilot KPIs</vt:lpstr>
      <vt:lpstr>Sources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idaem</cp:lastModifiedBy>
  <cp:revision>0</cp:revision>
  <dcterms:created xsi:type="dcterms:W3CDTF">2026-10-08T22:58:00Z</dcterms:created>
  <dcterms:modified xsi:type="dcterms:W3CDTF">2026-10-25T19:00:40Z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8812BDDCC83F43DC8EBC600985F8812D_13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