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TRODUCCIÓN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Pricing research" sheetId="3" state="visible" r:id="rId3"/>
    <sheet xmlns:r="http://schemas.openxmlformats.org/officeDocument/2006/relationships" name="Sales" sheetId="4" state="visible" r:id="rId4"/>
    <sheet xmlns:r="http://schemas.openxmlformats.org/officeDocument/2006/relationships" name="Staff expenses" sheetId="5" state="visible" r:id="rId5"/>
    <sheet xmlns:r="http://schemas.openxmlformats.org/officeDocument/2006/relationships" name="Other expenses" sheetId="6" state="visible" r:id="rId6"/>
    <sheet xmlns:r="http://schemas.openxmlformats.org/officeDocument/2006/relationships" name="I+D expenses" sheetId="7" state="visible" r:id="rId7"/>
    <sheet xmlns:r="http://schemas.openxmlformats.org/officeDocument/2006/relationships" name="Ammortization" sheetId="8" state="visible" r:id="rId8"/>
    <sheet xmlns:r="http://schemas.openxmlformats.org/officeDocument/2006/relationships" name="Financing" sheetId="9" state="visible" r:id="rId9"/>
    <sheet xmlns:r="http://schemas.openxmlformats.org/officeDocument/2006/relationships" name="FINANCIAL MODEL" sheetId="10" state="visible" r:id="rId10"/>
    <sheet xmlns:r="http://schemas.openxmlformats.org/officeDocument/2006/relationships" name="TIR" sheetId="11" state="visible" r:id="rId11"/>
    <sheet xmlns:r="http://schemas.openxmlformats.org/officeDocument/2006/relationships" name="SaU" sheetId="12" state="visible" r:id="rId12"/>
    <sheet xmlns:r="http://schemas.openxmlformats.org/officeDocument/2006/relationships" name="Product margin" sheetId="13" state="visible" r:id="rId13"/>
    <sheet xmlns:r="http://schemas.openxmlformats.org/officeDocument/2006/relationships" name="SaaS metrics" sheetId="14" state="visible" r:id="rId14"/>
    <sheet xmlns:r="http://schemas.openxmlformats.org/officeDocument/2006/relationships" name="Sensitivity" sheetId="15" state="visible" r:id="rId15"/>
    <sheet xmlns:r="http://schemas.openxmlformats.org/officeDocument/2006/relationships" name="Scenarios" sheetId="16" state="visible" r:id="rId16"/>
    <sheet xmlns:r="http://schemas.openxmlformats.org/officeDocument/2006/relationships" name="Pilot KPIs" sheetId="17" state="visible" r:id="rId17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9">
    <numFmt numFmtId="164" formatCode="#,##0;\(#,##0\);\-"/>
    <numFmt numFmtId="165" formatCode="0.0%"/>
    <numFmt numFmtId="166" formatCode="0.0\x"/>
    <numFmt numFmtId="167" formatCode="#,##0.0"/>
    <numFmt numFmtId="168" formatCode="0.000"/>
    <numFmt numFmtId="169" formatCode="€0.000"/>
    <numFmt numFmtId="170" formatCode="€#,##0"/>
    <numFmt numFmtId="171" formatCode="€#,##0.00"/>
    <numFmt numFmtId="172" formatCode="0.0"/>
  </numFmts>
  <fonts count="24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07AB5"/>
      <sz val="14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sz val="10"/>
    </font>
    <font>
      <name val="Arial"/>
      <charset val="1"/>
      <family val="0"/>
      <sz val="10"/>
    </font>
    <font>
      <name val="Arial"/>
      <charset val="1"/>
      <family val="0"/>
      <i val="1"/>
      <color rgb="FF5A6B7A"/>
      <sz val="9"/>
    </font>
    <font>
      <name val="Arial"/>
      <charset val="1"/>
      <family val="0"/>
      <color rgb="FF0000FF"/>
      <sz val="10"/>
    </font>
    <font>
      <name val="Arial"/>
      <charset val="1"/>
      <family val="0"/>
      <b val="1"/>
      <color rgb="FF000000"/>
      <sz val="10"/>
    </font>
    <font>
      <name val="Arial"/>
      <charset val="1"/>
      <family val="0"/>
      <color rgb="FF008000"/>
      <sz val="10"/>
    </font>
    <font>
      <name val="Arial"/>
      <charset val="1"/>
      <family val="0"/>
      <color rgb="FF000000"/>
      <sz val="10"/>
    </font>
    <font>
      <name val="Arial"/>
      <charset val="1"/>
      <family val="0"/>
      <b val="1"/>
      <color rgb="FF008000"/>
      <sz val="10"/>
    </font>
    <font>
      <b val="1"/>
    </font>
    <font/>
    <font>
      <color rgb="FF5A6B7A"/>
    </font>
    <font>
      <color rgb="FF0000FF"/>
    </font>
    <font>
      <b val="1"/>
      <color rgb="FF007AB5"/>
    </font>
    <font>
      <b val="1"/>
      <color rgb="FFFFFFFF"/>
    </font>
    <font>
      <color rgb="FF008000"/>
    </font>
    <font>
      <color rgb="FF000000"/>
    </font>
    <font>
      <b val="1"/>
      <color rgb="FF000000"/>
    </font>
    <font>
      <b val="1"/>
      <color rgb="FF008000"/>
    </font>
  </fonts>
  <fills count="8">
    <fill>
      <patternFill/>
    </fill>
    <fill>
      <patternFill patternType="gray125"/>
    </fill>
    <fill>
      <patternFill patternType="solid">
        <fgColor rgb="FF007AB5"/>
        <bgColor rgb="FF008080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6F1F8"/>
        <bgColor rgb="FFFFFFFF"/>
      </patternFill>
    </fill>
    <fill>
      <patternFill patternType="solid">
        <fgColor rgb="FF007AB5"/>
      </patternFill>
    </fill>
    <fill>
      <patternFill patternType="solid">
        <fgColor rgb="FFE6F1F8"/>
      </patternFill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22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general" vertical="bottom"/>
    </xf>
    <xf numFmtId="0" fontId="9" fillId="3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164" fontId="9" fillId="0" borderId="0" applyAlignment="1" pivotButton="0" quotePrefix="0" xfId="0">
      <alignment horizontal="general" vertical="bottom"/>
    </xf>
    <xf numFmtId="165" fontId="9" fillId="4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2" fontId="9" fillId="0" borderId="0" applyAlignment="1" pivotButton="0" quotePrefix="0" xfId="0">
      <alignment horizontal="general" vertical="bottom"/>
    </xf>
    <xf numFmtId="166" fontId="9" fillId="0" borderId="0" applyAlignment="1" pivotButton="0" quotePrefix="0" xfId="0">
      <alignment horizontal="general" vertical="bottom"/>
    </xf>
    <xf numFmtId="0" fontId="6" fillId="5" borderId="0" applyAlignment="1" pivotButton="0" quotePrefix="0" xfId="0">
      <alignment horizontal="general" vertical="bottom"/>
    </xf>
    <xf numFmtId="164" fontId="10" fillId="5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3" fontId="9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4" fontId="11" fillId="0" borderId="0" applyAlignment="1" pivotButton="0" quotePrefix="0" xfId="0">
      <alignment horizontal="general" vertical="bottom"/>
    </xf>
    <xf numFmtId="167" fontId="12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general" vertical="bottom"/>
    </xf>
    <xf numFmtId="164" fontId="10" fillId="0" borderId="0" applyAlignment="1" pivotButton="0" quotePrefix="0" xfId="0">
      <alignment horizontal="general" vertical="bottom"/>
    </xf>
    <xf numFmtId="164" fontId="13" fillId="0" borderId="0" applyAlignment="1" pivotButton="0" quotePrefix="0" xfId="0">
      <alignment horizontal="general" vertical="bottom"/>
    </xf>
    <xf numFmtId="1" fontId="9" fillId="0" borderId="0" applyAlignment="1" pivotButton="0" quotePrefix="0" xfId="0">
      <alignment horizontal="general" vertical="bottom"/>
    </xf>
    <xf numFmtId="1" fontId="10" fillId="0" borderId="0" applyAlignment="1" pivotButton="0" quotePrefix="0" xfId="0">
      <alignment horizontal="general" vertical="bottom"/>
    </xf>
    <xf numFmtId="165" fontId="12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general" vertical="bottom"/>
    </xf>
    <xf numFmtId="164" fontId="7" fillId="0" borderId="0" applyAlignment="1" pivotButton="0" quotePrefix="0" xfId="0">
      <alignment horizontal="general" vertical="bottom"/>
    </xf>
    <xf numFmtId="164" fontId="6" fillId="0" borderId="0" applyAlignment="1" pivotButton="0" quotePrefix="0" xfId="0">
      <alignment horizontal="general" vertical="bottom"/>
    </xf>
    <xf numFmtId="1" fontId="12" fillId="0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165" fontId="13" fillId="0" borderId="0" applyAlignment="1" pivotButton="0" quotePrefix="0" xfId="0">
      <alignment horizontal="general" vertical="bottom"/>
    </xf>
    <xf numFmtId="9" fontId="7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 wrapText="1"/>
    </xf>
    <xf numFmtId="0" fontId="6" fillId="0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 wrapText="1"/>
    </xf>
    <xf numFmtId="0" fontId="8" fillId="0" borderId="0" applyAlignment="1" pivotButton="0" quotePrefix="0" xfId="0">
      <alignment horizontal="general" vertical="bottom"/>
    </xf>
    <xf numFmtId="0" fontId="9" fillId="3" borderId="0" applyAlignment="1" pivotButton="0" quotePrefix="0" xfId="0">
      <alignment horizontal="general" vertical="bottom"/>
    </xf>
    <xf numFmtId="0" fontId="7" fillId="0" borderId="0" applyAlignment="1" pivotButton="0" quotePrefix="0" xfId="0">
      <alignment horizontal="general" vertical="bottom"/>
    </xf>
    <xf numFmtId="164" fontId="9" fillId="0" borderId="0" applyAlignment="1" pivotButton="0" quotePrefix="0" xfId="0">
      <alignment horizontal="general" vertical="bottom"/>
    </xf>
    <xf numFmtId="165" fontId="9" fillId="4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2" fontId="9" fillId="0" borderId="0" applyAlignment="1" pivotButton="0" quotePrefix="0" xfId="0">
      <alignment horizontal="general" vertical="bottom"/>
    </xf>
    <xf numFmtId="166" fontId="9" fillId="0" borderId="0" applyAlignment="1" pivotButton="0" quotePrefix="0" xfId="0">
      <alignment horizontal="general" vertical="bottom"/>
    </xf>
    <xf numFmtId="0" fontId="6" fillId="5" borderId="0" applyAlignment="1" pivotButton="0" quotePrefix="0" xfId="0">
      <alignment horizontal="general" vertical="bottom"/>
    </xf>
    <xf numFmtId="164" fontId="10" fillId="5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9" fontId="0" fillId="0" borderId="0" pivotButton="0" quotePrefix="0" xfId="0"/>
    <xf numFmtId="164" fontId="11" fillId="0" borderId="0" applyAlignment="1" pivotButton="0" quotePrefix="0" xfId="0">
      <alignment horizontal="general" vertical="bottom"/>
    </xf>
    <xf numFmtId="167" fontId="12" fillId="0" borderId="0" applyAlignment="1" pivotButton="0" quotePrefix="0" xfId="0">
      <alignment horizontal="general" vertical="bottom"/>
    </xf>
    <xf numFmtId="164" fontId="12" fillId="0" borderId="0" applyAlignment="1" pivotButton="0" quotePrefix="0" xfId="0">
      <alignment horizontal="general" vertical="bottom"/>
    </xf>
    <xf numFmtId="164" fontId="10" fillId="0" borderId="0" applyAlignment="1" pivotButton="0" quotePrefix="0" xfId="0">
      <alignment horizontal="general" vertical="bottom"/>
    </xf>
    <xf numFmtId="164" fontId="13" fillId="0" borderId="0" applyAlignment="1" pivotButton="0" quotePrefix="0" xfId="0">
      <alignment horizontal="general" vertical="bottom"/>
    </xf>
    <xf numFmtId="1" fontId="9" fillId="0" borderId="0" applyAlignment="1" pivotButton="0" quotePrefix="0" xfId="0">
      <alignment horizontal="general" vertical="bottom"/>
    </xf>
    <xf numFmtId="1" fontId="10" fillId="0" borderId="0" applyAlignment="1" pivotButton="0" quotePrefix="0" xfId="0">
      <alignment horizontal="general" vertical="bottom"/>
    </xf>
    <xf numFmtId="165" fontId="12" fillId="0" borderId="0" applyAlignment="1" pivotButton="0" quotePrefix="0" xfId="0">
      <alignment horizontal="general" vertical="bottom"/>
    </xf>
    <xf numFmtId="168" fontId="12" fillId="0" borderId="0" applyAlignment="1" pivotButton="0" quotePrefix="0" xfId="0">
      <alignment horizontal="general" vertical="bottom"/>
    </xf>
    <xf numFmtId="164" fontId="7" fillId="0" borderId="0" applyAlignment="1" pivotButton="0" quotePrefix="0" xfId="0">
      <alignment horizontal="general" vertical="bottom"/>
    </xf>
    <xf numFmtId="164" fontId="6" fillId="0" borderId="0" applyAlignment="1" pivotButton="0" quotePrefix="0" xfId="0">
      <alignment horizontal="general" vertical="bottom"/>
    </xf>
    <xf numFmtId="1" fontId="12" fillId="0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165" fontId="13" fillId="0" borderId="0" applyAlignment="1" pivotButton="0" quotePrefix="0" xfId="0">
      <alignment horizontal="general" vertical="bottom"/>
    </xf>
    <xf numFmtId="9" fontId="7" fillId="0" borderId="0" applyAlignment="1" pivotButton="0" quotePrefix="0" xfId="0">
      <alignment horizontal="general" vertical="bottom"/>
    </xf>
    <xf numFmtId="169" fontId="7" fillId="0" borderId="0" applyAlignment="1" pivotButton="0" quotePrefix="0" xfId="0">
      <alignment horizontal="general" vertical="bottom"/>
    </xf>
    <xf numFmtId="170" fontId="7" fillId="0" borderId="0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 wrapText="1"/>
    </xf>
    <xf numFmtId="0" fontId="15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general" vertical="bottom"/>
    </xf>
    <xf numFmtId="165" fontId="17" fillId="0" borderId="0" applyAlignment="1" pivotButton="0" quotePrefix="0" xfId="0">
      <alignment horizontal="general" vertical="bottom"/>
    </xf>
    <xf numFmtId="0" fontId="16" fillId="0" borderId="0" pivotButton="0" quotePrefix="0" xfId="0"/>
    <xf numFmtId="0" fontId="15" fillId="0" borderId="0" pivotButton="0" quotePrefix="0" xfId="0"/>
    <xf numFmtId="165" fontId="17" fillId="0" borderId="0" pivotButton="0" quotePrefix="0" xfId="0"/>
    <xf numFmtId="0" fontId="18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top" wrapText="1"/>
    </xf>
    <xf numFmtId="0" fontId="19" fillId="6" borderId="0" applyAlignment="1" pivotButton="0" quotePrefix="0" xfId="0">
      <alignment horizontal="general" vertical="bottom"/>
    </xf>
    <xf numFmtId="169" fontId="17" fillId="0" borderId="0" applyAlignment="1" pivotButton="0" quotePrefix="0" xfId="0">
      <alignment horizontal="general" vertical="bottom"/>
    </xf>
    <xf numFmtId="9" fontId="17" fillId="0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70" fontId="15" fillId="0" borderId="0" applyAlignment="1" pivotButton="0" quotePrefix="0" xfId="0">
      <alignment horizontal="general" vertical="bottom"/>
    </xf>
    <xf numFmtId="170" fontId="19" fillId="6" borderId="0" applyAlignment="1" pivotButton="0" quotePrefix="0" xfId="0">
      <alignment horizontal="general" vertical="bottom"/>
    </xf>
    <xf numFmtId="170" fontId="20" fillId="0" borderId="0" applyAlignment="1" pivotButton="0" quotePrefix="0" xfId="0">
      <alignment horizontal="general" vertical="bottom"/>
    </xf>
    <xf numFmtId="3" fontId="17" fillId="0" borderId="0" applyAlignment="1" pivotButton="0" quotePrefix="0" xfId="0">
      <alignment horizontal="general" vertical="bottom"/>
    </xf>
    <xf numFmtId="170" fontId="17" fillId="0" borderId="0" applyAlignment="1" pivotButton="0" quotePrefix="0" xfId="0">
      <alignment horizontal="general" vertical="bottom"/>
    </xf>
    <xf numFmtId="170" fontId="21" fillId="0" borderId="0" applyAlignment="1" pivotButton="0" quotePrefix="0" xfId="0">
      <alignment horizontal="general" vertical="bottom"/>
    </xf>
    <xf numFmtId="9" fontId="21" fillId="0" borderId="0" applyAlignment="1" pivotButton="0" quotePrefix="0" xfId="0">
      <alignment horizontal="general" vertical="bottom"/>
    </xf>
    <xf numFmtId="171" fontId="17" fillId="0" borderId="0" applyAlignment="1" pivotButton="0" quotePrefix="0" xfId="0">
      <alignment horizontal="general" vertical="bottom"/>
    </xf>
    <xf numFmtId="171" fontId="21" fillId="0" borderId="0" applyAlignment="1" pivotButton="0" quotePrefix="0" xfId="0">
      <alignment horizontal="general" vertical="bottom"/>
    </xf>
    <xf numFmtId="9" fontId="15" fillId="0" borderId="0" applyAlignment="1" pivotButton="0" quotePrefix="0" xfId="0">
      <alignment horizontal="general" vertical="bottom"/>
    </xf>
    <xf numFmtId="164" fontId="17" fillId="0" borderId="0" applyAlignment="1" pivotButton="0" quotePrefix="0" xfId="0">
      <alignment horizontal="general" vertical="bottom"/>
    </xf>
    <xf numFmtId="164" fontId="21" fillId="0" borderId="0" applyAlignment="1" pivotButton="0" quotePrefix="0" xfId="0">
      <alignment horizontal="general" vertical="bottom"/>
    </xf>
    <xf numFmtId="0" fontId="14" fillId="7" borderId="0" pivotButton="0" quotePrefix="0" xfId="0"/>
    <xf numFmtId="164" fontId="22" fillId="7" borderId="0" pivotButton="0" quotePrefix="0" xfId="0"/>
    <xf numFmtId="164" fontId="17" fillId="0" borderId="0" pivotButton="0" quotePrefix="0" xfId="0"/>
    <xf numFmtId="0" fontId="14" fillId="7" borderId="0" applyAlignment="1" pivotButton="0" quotePrefix="0" xfId="0">
      <alignment horizontal="general" vertical="bottom"/>
    </xf>
    <xf numFmtId="164" fontId="23" fillId="0" borderId="0" applyAlignment="1" pivotButton="0" quotePrefix="0" xfId="0">
      <alignment horizontal="general" vertical="bottom"/>
    </xf>
    <xf numFmtId="164" fontId="21" fillId="0" borderId="0" pivotButton="0" quotePrefix="0" xfId="0"/>
    <xf numFmtId="164" fontId="20" fillId="0" borderId="0" pivotButton="0" quotePrefix="0" xfId="0"/>
    <xf numFmtId="164" fontId="20" fillId="0" borderId="0" applyAlignment="1" pivotButton="0" quotePrefix="0" xfId="0">
      <alignment horizontal="general" vertical="bottom"/>
    </xf>
    <xf numFmtId="164" fontId="22" fillId="7" borderId="0" applyAlignment="1" pivotButton="0" quotePrefix="0" xfId="0">
      <alignment horizontal="general" vertical="bottom"/>
    </xf>
    <xf numFmtId="0" fontId="14" fillId="0" borderId="0" pivotButton="0" quotePrefix="0" xfId="0"/>
    <xf numFmtId="165" fontId="22" fillId="0" borderId="0" pivotButton="0" quotePrefix="0" xfId="0"/>
    <xf numFmtId="165" fontId="21" fillId="0" borderId="0" pivotButton="0" quotePrefix="0" xfId="0"/>
    <xf numFmtId="0" fontId="19" fillId="6" borderId="0" pivotButton="0" quotePrefix="0" xfId="0"/>
    <xf numFmtId="165" fontId="20" fillId="0" borderId="0" pivotButton="0" quotePrefix="0" xfId="0"/>
    <xf numFmtId="172" fontId="21" fillId="0" borderId="0" pivotButton="0" quotePrefix="0" xfId="0"/>
    <xf numFmtId="2" fontId="21" fillId="0" borderId="0" pivotButton="0" quotePrefix="0" xfId="0"/>
    <xf numFmtId="9" fontId="0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6F1F8"/>
      <rgbColor rgb="FF660066"/>
      <rgbColor rgb="FFFF8080"/>
      <rgbColor rgb="FF007A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B7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B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10" customWidth="1" style="38" min="2" max="2"/>
    <col width="12" customWidth="1" style="38" min="3" max="6"/>
    <col width="60" customWidth="1" style="38" min="7" max="7"/>
  </cols>
  <sheetData>
    <row r="1" ht="17.35" customHeight="1" s="39">
      <c r="A1" s="79" t="inlineStr">
        <is>
          <t>counterview — Financial model v29 (NTT Data template structure)</t>
        </is>
      </c>
    </row>
    <row r="3" ht="15" customHeight="1" s="39">
      <c r="A3" s="41" t="inlineStr">
        <is>
          <t>Tab</t>
        </is>
      </c>
      <c r="B3" s="42" t="inlineStr">
        <is>
          <t>Content</t>
        </is>
      </c>
    </row>
    <row r="4" ht="15" customHeight="1" s="39">
      <c r="A4" s="43" t="inlineStr">
        <is>
          <t>Assumptions</t>
        </is>
      </c>
      <c r="B4" s="44" t="inlineStr">
        <is>
          <t>Prices, cost of sales by line, scenario switch in B4 (1 Downside, 2 Base, 3 Upside).</t>
        </is>
      </c>
    </row>
    <row r="5" ht="15" customHeight="1" s="39">
      <c r="A5" s="43" t="inlineStr">
        <is>
          <t>Pricing research</t>
        </is>
      </c>
      <c r="B5" s="80" t="inlineStr">
        <is>
          <t>Competitor price evidence (October 2026) and unit economics: measured cost per check at list API prices (12–18 Oct 2026), check credits per plan, gross margin of each plan at full allowance use.</t>
        </is>
      </c>
    </row>
    <row r="6" ht="15" customHeight="1" s="39">
      <c r="A6" s="43" t="inlineStr">
        <is>
          <t>Sales</t>
        </is>
      </c>
      <c r="B6" s="44" t="inlineStr">
        <is>
          <t>Newsrooms, PR &amp; communications, public-integrity / OSINT, API: customers, averages, prices, revenue, ARR.</t>
        </is>
      </c>
    </row>
    <row r="7" ht="15" customHeight="1" s="39">
      <c r="A7" s="43" t="inlineStr">
        <is>
          <t>Staff expenses</t>
        </is>
      </c>
      <c r="B7" s="44" t="inlineStr">
        <is>
          <t>Gross cost per role and loaded cost; headcount.</t>
        </is>
      </c>
    </row>
    <row r="8" ht="15" customHeight="1" s="39">
      <c r="A8" s="43" t="inlineStr">
        <is>
          <t>Other expenses</t>
        </is>
      </c>
      <c r="B8" s="44" t="inlineStr">
        <is>
          <t>Overheads.</t>
        </is>
      </c>
    </row>
    <row r="9" ht="15" customHeight="1" s="39">
      <c r="A9" s="43" t="inlineStr">
        <is>
          <t>I+D expenses</t>
        </is>
      </c>
      <c r="B9" s="44" t="inlineStr">
        <is>
          <t>External R&amp;D.</t>
        </is>
      </c>
    </row>
    <row r="10" ht="15" customHeight="1" s="39">
      <c r="A10" s="43" t="inlineStr">
        <is>
          <t>Ammortization</t>
        </is>
      </c>
      <c r="B10" s="44" t="inlineStr">
        <is>
          <t>Investment and amortization.</t>
        </is>
      </c>
    </row>
    <row r="11" ht="15" customHeight="1" s="39">
      <c r="A11" s="43" t="inlineStr">
        <is>
          <t>Financing</t>
        </is>
      </c>
      <c r="B11" s="44" t="inlineStr">
        <is>
          <t>Self-funded: founders €10k + €300k from aligned angels (2027), ENISA €175k, ACCIÓ ≈€90k, NEOTEC €220k; no further round in the base case</t>
        </is>
      </c>
    </row>
    <row r="12" ht="15" customHeight="1" s="39">
      <c r="A12" s="43" t="inlineStr">
        <is>
          <t>FINANCIAL MODEL</t>
        </is>
      </c>
      <c r="B12" s="44" t="inlineStr">
        <is>
          <t>P&amp;L, balance sheet, cash flow, VAN — all formulas.</t>
        </is>
      </c>
    </row>
    <row r="13" ht="15" customHeight="1" s="39">
      <c r="A13" s="43" t="inlineStr">
        <is>
          <t>TIR</t>
        </is>
      </c>
      <c r="B13" s="44" t="inlineStr">
        <is>
          <t>IRR.</t>
        </is>
      </c>
    </row>
    <row r="14" ht="15" customHeight="1" s="39">
      <c r="A14" s="43" t="inlineStr">
        <is>
          <t>SaU</t>
        </is>
      </c>
      <c r="B14" s="44" t="inlineStr">
        <is>
          <t>Sources and uses until break-even, 2027–2029.</t>
        </is>
      </c>
    </row>
    <row r="15" ht="15" customHeight="1" s="39">
      <c r="A15" s="43" t="inlineStr">
        <is>
          <t>Product margin</t>
        </is>
      </c>
      <c r="B15" s="80" t="inlineStr">
        <is>
          <t>Cost of revenue build (usage by line, production hosting, customer success, royalty, payment fees), reconciled to the P&amp;L.</t>
        </is>
      </c>
    </row>
    <row r="16" ht="15" customHeight="1" s="39">
      <c r="A16" s="43" t="inlineStr">
        <is>
          <t>Sensitivity</t>
        </is>
      </c>
      <c r="B16" s="44" t="inlineStr">
        <is>
          <t>VAN by discount rate × exit multiple.</t>
        </is>
      </c>
    </row>
    <row r="17" ht="15" customHeight="1" s="39">
      <c r="A17" s="43" t="inlineStr">
        <is>
          <t>Scenarios</t>
        </is>
      </c>
      <c r="B17" s="44" t="inlineStr">
        <is>
          <t>Downside / Base / Upside, verified by switching Assumptions!B4.</t>
        </is>
      </c>
    </row>
    <row r="18" ht="15" customHeight="1" s="39">
      <c r="A18" s="43" t="inlineStr">
        <is>
          <t>Pilot KPIs</t>
        </is>
      </c>
      <c r="B18" s="44" t="inlineStr">
        <is>
          <t>12-week action plan targets; fill in weekly.</t>
        </is>
      </c>
    </row>
    <row r="19" ht="15" customHeight="1" s="39">
      <c r="A19" s="81" t="inlineStr">
        <is>
          <t>SaaS metrics</t>
        </is>
      </c>
      <c r="B19" s="80" t="inlineStr">
        <is>
          <t>ARR, growth, gross and EBITDA margin, Rule of 40, CAC, payback, LTV/CAC, burn multiple, runway.</t>
        </is>
      </c>
    </row>
    <row r="20" ht="15" customHeight="1" s="39">
      <c r="A20" s="43" t="inlineStr">
        <is>
          <t>Colour legend</t>
        </is>
      </c>
      <c r="B20" s="44" t="inlineStr">
        <is>
          <t>Blue = input · Black = formula · Green = link · Yellow fill = to confirm.</t>
        </is>
      </c>
    </row>
    <row r="21" ht="15" customHeight="1" s="39">
      <c r="A21" s="43" t="inlineStr">
        <is>
          <t>Units</t>
        </is>
      </c>
      <c r="B21" s="44" t="inlineStr">
        <is>
          <t>€ thousands, constant prices, VAT excluded.</t>
        </is>
      </c>
    </row>
    <row r="22" ht="23.85" customHeight="1" s="39">
      <c r="A22" s="43" t="inlineStr">
        <is>
          <t>Version</t>
        </is>
      </c>
      <c r="B22" s="80" t="inlineStr">
        <is>
          <t>v29, revised 20 October 2026 after feedback round 1 and founder review: paid pilots (newsroom 1 month €500, PR 2 months €2,500), newsroom €450–500/month, PR €1,200/month + €350 per crisis client, 8% prepay discount, 48 PR agencies by 2031, hiring tied to revenue with a cash floor, on-premise by 2028. Matches business plan v29 (rev.) within a few €k of rounding.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F5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2" customWidth="1" style="38" min="2" max="6"/>
    <col width="60" customWidth="1" style="38" min="7" max="7"/>
  </cols>
  <sheetData>
    <row r="1" ht="17.35" customHeight="1" s="39">
      <c r="A1" s="40" t="inlineStr">
        <is>
          <t>Assumptions and scenario drivers</t>
        </is>
      </c>
    </row>
    <row r="2" ht="15" customHeight="1" s="39">
      <c r="A2" s="45" t="inlineStr">
        <is>
          <t>Blue = input. Change B4 to switch scenario.</t>
        </is>
      </c>
    </row>
    <row r="4" ht="15" customHeight="1" s="39">
      <c r="A4" s="38" t="inlineStr">
        <is>
          <t>Scenario (1 Downside, 2 Base, 3 Upside)</t>
        </is>
      </c>
      <c r="B4" s="46" t="n">
        <v>2</v>
      </c>
      <c r="C4" s="43">
        <f>CHOOSE(B4,"Downside","Base","Upside")</f>
        <v/>
      </c>
    </row>
    <row r="7" ht="15" customHeight="1" s="39">
      <c r="A7" s="47" t="inlineStr">
        <is>
          <t>Newsroom team plan: average revenue per team (€k/yr)</t>
        </is>
      </c>
      <c r="B7" s="48" t="n">
        <v>5.24</v>
      </c>
      <c r="C7" s="82" t="inlineStr">
        <is>
          <t>€450–500/month (avg €475) after a €500 one-month pilot; 8% off for annual prepayment → €5.24k net; 600 check credits a month</t>
        </is>
      </c>
    </row>
    <row r="8" ht="15" customHeight="1" s="39">
      <c r="A8" s="47" t="inlineStr">
        <is>
          <t>PR &amp; communications: average per agency (€k/yr)</t>
        </is>
      </c>
      <c r="B8" s="48" t="n">
        <v>14.3</v>
      </c>
      <c r="C8" s="82" t="inlineStr">
        <is>
          <t>€1,200/month base after a €2,500 two-month pilot (8% prepay discount) + one €350 crisis add-on ≈3 months a year → ≈€14.3k net</t>
        </is>
      </c>
    </row>
    <row r="9" ht="15" customHeight="1" s="39">
      <c r="A9" s="47" t="inlineStr">
        <is>
          <t>Public-integrity / OSINT licence (€k/yr)</t>
        </is>
      </c>
      <c r="B9" s="48" t="n">
        <v>30</v>
      </c>
      <c r="C9" s="45" t="inlineStr">
        <is>
          <t>Blend: cloud €15–25k/yr and on-premise €35–50k/yr (on-premise by 2028)</t>
        </is>
      </c>
    </row>
    <row r="10" ht="15" customHeight="1" s="39">
      <c r="A10" s="47" t="inlineStr">
        <is>
          <t>Set-up fee per new licence (€k)</t>
        </is>
      </c>
      <c r="B10" s="48" t="n">
        <v>5</v>
      </c>
      <c r="C10" s="45" t="inlineStr">
        <is>
          <t>€10k per on-premise install (≈half of licences); none for cloud</t>
        </is>
      </c>
    </row>
    <row r="11" ht="15" customHeight="1" s="39">
      <c r="A11" s="47" t="inlineStr">
        <is>
          <t>Election / event package (€k)</t>
        </is>
      </c>
      <c r="B11" s="48" t="n">
        <v>13</v>
      </c>
      <c r="C11" s="82" t="inlineStr">
        <is>
          <t>Up to 10,000 credits over a campaign + prepared topic packs; under the €15k contrato-menor cap</t>
        </is>
      </c>
    </row>
    <row r="12" ht="15" customHeight="1" s="39">
      <c r="A12" s="47" t="inlineStr">
        <is>
          <t>Royalty to UAB/CVC</t>
        </is>
      </c>
      <c r="B12" s="49" t="n">
        <v>0.02</v>
      </c>
      <c r="C12" s="45" t="inlineStr">
        <is>
          <t>2% royalty to UAB/CVC, proposed to end at €1M cumulative revenue (or a €50–75k buyout); to negotiate</t>
        </is>
      </c>
    </row>
    <row r="13" ht="15" customHeight="1" s="39">
      <c r="A13" s="81" t="inlineStr">
        <is>
          <t>Cost of revenue, usage — newsrooms (share of revenue)</t>
        </is>
      </c>
      <c r="B13" s="83" t="n">
        <v>0.15</v>
      </c>
      <c r="C13" s="82" t="inlineStr">
        <is>
          <t>Full allowance use: 600 credits × €0.12 = €72 = 15% of €475/month (Unit economics, Pricing research tab)</t>
        </is>
      </c>
    </row>
    <row r="14" ht="15" customHeight="1" s="39">
      <c r="A14" s="81" t="inlineStr">
        <is>
          <t>Cost of revenue, usage — PR</t>
        </is>
      </c>
      <c r="B14" s="83" t="n">
        <v>0.15</v>
      </c>
      <c r="C14" s="82" t="inlineStr">
        <is>
          <t>Full use: 1,000 credits × €0.12 + claim-tracking re-runs ≈ €141 = 12% of €1,200/month; 15% kept as a buffer</t>
        </is>
      </c>
    </row>
    <row r="15" ht="15" customHeight="1" s="39">
      <c r="A15" s="81" t="inlineStr">
        <is>
          <t>Cost of revenue, usage — public-integrity</t>
        </is>
      </c>
      <c r="B15" s="83" t="n">
        <v>0.1</v>
      </c>
      <c r="C15" s="82" t="inlineStr">
        <is>
          <t>Offline: topic-pack refresh and travel; installation staff are in customer success (cost of revenue)</t>
        </is>
      </c>
    </row>
    <row r="16" ht="15" customHeight="1" s="39">
      <c r="A16" s="81" t="inlineStr">
        <is>
          <t>Cost of revenue, usage — API</t>
        </is>
      </c>
      <c r="B16" s="83" t="n">
        <v>0.25</v>
      </c>
      <c r="C16" s="82" t="inlineStr">
        <is>
          <t>Standard €0.50/credit (cost €0.12 = 24%); economy €0.20 (Brave only, cost €0.04 = 20%)</t>
        </is>
      </c>
    </row>
    <row r="17" ht="15" customHeight="1" s="39">
      <c r="A17" s="81" t="inlineStr">
        <is>
          <t>Payment fees (cost of revenue)</t>
        </is>
      </c>
      <c r="B17" s="83" t="n">
        <v>0.02</v>
      </c>
      <c r="C17" s="84" t="inlineStr">
        <is>
          <t>Card and bank-transfer fees; v28 combined these with commissions (6%)</t>
        </is>
      </c>
    </row>
    <row r="18" ht="15" customHeight="1" s="39">
      <c r="A18" s="47" t="inlineStr">
        <is>
          <t>Employer social security factor</t>
        </is>
      </c>
      <c r="B18" s="51" t="n">
        <v>1.31</v>
      </c>
    </row>
    <row r="19" ht="15" customHeight="1" s="39">
      <c r="A19" s="47" t="inlineStr">
        <is>
          <t>Days to collect (DSO)</t>
        </is>
      </c>
      <c r="B19" s="48" t="n">
        <v>20</v>
      </c>
      <c r="C19" s="38" t="inlineStr">
        <is>
          <t>Most customers prepay annually</t>
        </is>
      </c>
    </row>
    <row r="20" ht="15" customHeight="1" s="39">
      <c r="A20" s="47" t="inlineStr">
        <is>
          <t>Days to pay (DPO)</t>
        </is>
      </c>
      <c r="B20" s="48" t="n">
        <v>30</v>
      </c>
    </row>
    <row r="21" ht="15" customHeight="1" s="39">
      <c r="A21" s="47" t="inlineStr">
        <is>
          <t>ENISA interest rate</t>
        </is>
      </c>
      <c r="B21" s="50" t="n">
        <v>0.06</v>
      </c>
    </row>
    <row r="22" ht="15" customHeight="1" s="39">
      <c r="A22" s="47" t="inlineStr">
        <is>
          <t>Amortization life (years)</t>
        </is>
      </c>
      <c r="B22" s="48" t="n">
        <v>4</v>
      </c>
    </row>
    <row r="23" ht="15" customHeight="1" s="39">
      <c r="A23" s="47" t="inlineStr">
        <is>
          <t>Tax — new company rate</t>
        </is>
      </c>
      <c r="B23" s="50" t="n">
        <v>0.15</v>
      </c>
      <c r="C23" s="45" t="inlineStr">
        <is>
          <t>First two profitable years</t>
        </is>
      </c>
    </row>
    <row r="24" ht="15" customHeight="1" s="39">
      <c r="A24" s="47" t="inlineStr">
        <is>
          <t>Tax — standard rate</t>
        </is>
      </c>
      <c r="B24" s="50" t="n">
        <v>0.25</v>
      </c>
    </row>
    <row r="25" ht="15" customHeight="1" s="39">
      <c r="A25" s="47" t="inlineStr">
        <is>
          <t>Years at reduced rate</t>
        </is>
      </c>
      <c r="B25" s="48" t="n">
        <v>2</v>
      </c>
    </row>
    <row r="26" ht="15" customHeight="1" s="39">
      <c r="A26" s="47" t="inlineStr">
        <is>
          <t>Discount rate (VAN)</t>
        </is>
      </c>
      <c r="B26" s="50" t="n">
        <v>0.3</v>
      </c>
    </row>
    <row r="27" ht="15" customHeight="1" s="39">
      <c r="A27" s="47" t="inlineStr">
        <is>
          <t>Exit multiple (× 2031 sales)</t>
        </is>
      </c>
      <c r="B27" s="52" t="n">
        <v>4</v>
      </c>
    </row>
    <row r="28">
      <c r="A28" s="85" t="inlineStr">
        <is>
          <t>Sales commissions (Sales &amp; Marketing opex)</t>
        </is>
      </c>
      <c r="B28" s="86" t="n">
        <v>0.04</v>
      </c>
      <c r="C28" s="84" t="inlineStr">
        <is>
          <t>Business-developer and account-executive commissions on first-year contracts</t>
        </is>
      </c>
    </row>
    <row r="29" ht="15" customHeight="1" s="39">
      <c r="A29" s="43" t="inlineStr">
        <is>
          <t>Scenario drivers</t>
        </is>
      </c>
    </row>
    <row r="30" ht="15" customHeight="1" s="39">
      <c r="A30" s="41" t="inlineStr">
        <is>
          <t>Driver</t>
        </is>
      </c>
      <c r="B30" s="41" t="inlineStr">
        <is>
          <t>2027</t>
        </is>
      </c>
      <c r="C30" s="41" t="inlineStr">
        <is>
          <t>2028</t>
        </is>
      </c>
      <c r="D30" s="41" t="inlineStr">
        <is>
          <t>2029</t>
        </is>
      </c>
      <c r="E30" s="41" t="inlineStr">
        <is>
          <t>2030</t>
        </is>
      </c>
      <c r="F30" s="41" t="inlineStr">
        <is>
          <t>2031</t>
        </is>
      </c>
    </row>
    <row r="31" ht="15" customHeight="1" s="39">
      <c r="A31" s="43" t="inlineStr">
        <is>
          <t>Downside</t>
        </is>
      </c>
    </row>
    <row r="32" ht="15" customHeight="1" s="39">
      <c r="A32" s="47" t="inlineStr">
        <is>
          <t>Newsroom team plans (year-end)</t>
        </is>
      </c>
      <c r="B32" s="48" t="n">
        <v>4</v>
      </c>
      <c r="C32" s="48" t="n">
        <v>10</v>
      </c>
      <c r="D32" s="48" t="n">
        <v>20</v>
      </c>
      <c r="E32" s="48" t="n">
        <v>32</v>
      </c>
      <c r="F32" s="48" t="n">
        <v>45</v>
      </c>
    </row>
    <row r="33" ht="15" customHeight="1" s="39">
      <c r="A33" s="47" t="inlineStr">
        <is>
          <t>Election / event packages (in year)</t>
        </is>
      </c>
      <c r="B33" s="48" t="n">
        <v>3</v>
      </c>
      <c r="C33" s="48" t="n">
        <v>2</v>
      </c>
      <c r="D33" s="48" t="n">
        <v>4</v>
      </c>
      <c r="E33" s="48" t="n">
        <v>2</v>
      </c>
      <c r="F33" s="48" t="n">
        <v>3</v>
      </c>
    </row>
    <row r="34" ht="15" customHeight="1" s="39">
      <c r="A34" s="47" t="inlineStr">
        <is>
          <t>PR &amp; communications clients (year-end)</t>
        </is>
      </c>
      <c r="B34" s="48" t="n">
        <v>1</v>
      </c>
      <c r="C34" s="48" t="n">
        <v>5</v>
      </c>
      <c r="D34" s="48" t="n">
        <v>10</v>
      </c>
      <c r="E34" s="48" t="n">
        <v>16</v>
      </c>
      <c r="F34" s="48" t="n">
        <v>24</v>
      </c>
    </row>
    <row r="35" ht="15" customHeight="1" s="39">
      <c r="A35" s="47" t="inlineStr">
        <is>
          <t>Public-integrity licences (year-end)</t>
        </is>
      </c>
      <c r="B35" s="48" t="n">
        <v>0</v>
      </c>
      <c r="C35" s="48" t="n">
        <v>0</v>
      </c>
      <c r="D35" s="48" t="n">
        <v>1</v>
      </c>
      <c r="E35" s="48" t="n">
        <v>3</v>
      </c>
      <c r="F35" s="48" t="n">
        <v>5</v>
      </c>
    </row>
    <row r="36" ht="15" customHeight="1" s="39">
      <c r="A36" s="47" t="inlineStr">
        <is>
          <t>API revenue (€k)</t>
        </is>
      </c>
      <c r="B36" s="48" t="n">
        <v>0</v>
      </c>
      <c r="C36" s="48" t="n">
        <v>5</v>
      </c>
      <c r="D36" s="48" t="n">
        <v>20</v>
      </c>
      <c r="E36" s="48" t="n">
        <v>45</v>
      </c>
      <c r="F36" s="48" t="n">
        <v>80</v>
      </c>
    </row>
    <row r="37" ht="15" customHeight="1" s="39">
      <c r="A37" s="43" t="inlineStr">
        <is>
          <t>Base</t>
        </is>
      </c>
    </row>
    <row r="38" ht="15" customHeight="1" s="39">
      <c r="A38" s="47" t="inlineStr">
        <is>
          <t>Newsroom team plans (year-end)</t>
        </is>
      </c>
      <c r="B38" s="48" t="n">
        <v>8</v>
      </c>
      <c r="C38" s="48" t="n">
        <v>20</v>
      </c>
      <c r="D38" s="48" t="n">
        <v>35</v>
      </c>
      <c r="E38" s="48" t="n">
        <v>55</v>
      </c>
      <c r="F38" s="48" t="n">
        <v>80</v>
      </c>
    </row>
    <row r="39" ht="15" customHeight="1" s="39">
      <c r="A39" s="47" t="inlineStr">
        <is>
          <t>Election / event packages (in year)</t>
        </is>
      </c>
      <c r="B39" s="48" t="n">
        <v>3</v>
      </c>
      <c r="C39" s="48" t="n">
        <v>2</v>
      </c>
      <c r="D39" s="48" t="n">
        <v>4</v>
      </c>
      <c r="E39" s="48" t="n">
        <v>2</v>
      </c>
      <c r="F39" s="48" t="n">
        <v>3</v>
      </c>
    </row>
    <row r="40" ht="15" customHeight="1" s="39">
      <c r="A40" s="47" t="inlineStr">
        <is>
          <t>PR &amp; communications clients (year-end)</t>
        </is>
      </c>
      <c r="B40" s="48" t="n">
        <v>3</v>
      </c>
      <c r="C40" s="48" t="n">
        <v>10</v>
      </c>
      <c r="D40" s="48" t="n">
        <v>20</v>
      </c>
      <c r="E40" s="48" t="n">
        <v>32</v>
      </c>
      <c r="F40" s="48" t="n">
        <v>48</v>
      </c>
    </row>
    <row r="41" ht="15" customHeight="1" s="39">
      <c r="A41" s="47" t="inlineStr">
        <is>
          <t>Public-integrity licences (year-end)</t>
        </is>
      </c>
      <c r="B41" s="48" t="n">
        <v>0</v>
      </c>
      <c r="C41" s="48" t="n">
        <v>1</v>
      </c>
      <c r="D41" s="48" t="n">
        <v>3</v>
      </c>
      <c r="E41" s="48" t="n">
        <v>6</v>
      </c>
      <c r="F41" s="48" t="n">
        <v>10</v>
      </c>
    </row>
    <row r="42" ht="15" customHeight="1" s="39">
      <c r="A42" s="47" t="inlineStr">
        <is>
          <t>API revenue (€k)</t>
        </is>
      </c>
      <c r="B42" s="48" t="n">
        <v>0</v>
      </c>
      <c r="C42" s="48" t="n">
        <v>15</v>
      </c>
      <c r="D42" s="48" t="n">
        <v>50</v>
      </c>
      <c r="E42" s="48" t="n">
        <v>110</v>
      </c>
      <c r="F42" s="48" t="n">
        <v>200</v>
      </c>
    </row>
    <row r="43" ht="15" customHeight="1" s="39">
      <c r="A43" s="43" t="inlineStr">
        <is>
          <t>Upside</t>
        </is>
      </c>
    </row>
    <row r="44" ht="15" customHeight="1" s="39">
      <c r="A44" s="47" t="inlineStr">
        <is>
          <t>Newsroom team plans (year-end)</t>
        </is>
      </c>
      <c r="B44" s="48" t="n">
        <v>12</v>
      </c>
      <c r="C44" s="48" t="n">
        <v>30</v>
      </c>
      <c r="D44" s="48" t="n">
        <v>52</v>
      </c>
      <c r="E44" s="48" t="n">
        <v>80</v>
      </c>
      <c r="F44" s="48" t="n">
        <v>115</v>
      </c>
    </row>
    <row r="45" ht="15" customHeight="1" s="39">
      <c r="A45" s="47" t="inlineStr">
        <is>
          <t>Election / event packages (in year)</t>
        </is>
      </c>
      <c r="B45" s="48" t="n">
        <v>3</v>
      </c>
      <c r="C45" s="48" t="n">
        <v>2</v>
      </c>
      <c r="D45" s="48" t="n">
        <v>4</v>
      </c>
      <c r="E45" s="48" t="n">
        <v>2</v>
      </c>
      <c r="F45" s="48" t="n">
        <v>3</v>
      </c>
    </row>
    <row r="46" ht="15" customHeight="1" s="39">
      <c r="A46" s="47" t="inlineStr">
        <is>
          <t>PR &amp; communications clients (year-end)</t>
        </is>
      </c>
      <c r="B46" s="48" t="n">
        <v>5</v>
      </c>
      <c r="C46" s="48" t="n">
        <v>18</v>
      </c>
      <c r="D46" s="48" t="n">
        <v>35</v>
      </c>
      <c r="E46" s="48" t="n">
        <v>55</v>
      </c>
      <c r="F46" s="48" t="n">
        <v>75</v>
      </c>
    </row>
    <row r="47" ht="15" customHeight="1" s="39">
      <c r="A47" s="47" t="inlineStr">
        <is>
          <t>Public-integrity licences (year-end)</t>
        </is>
      </c>
      <c r="B47" s="48" t="n">
        <v>0</v>
      </c>
      <c r="C47" s="48" t="n">
        <v>2</v>
      </c>
      <c r="D47" s="48" t="n">
        <v>5</v>
      </c>
      <c r="E47" s="48" t="n">
        <v>9</v>
      </c>
      <c r="F47" s="48" t="n">
        <v>14</v>
      </c>
    </row>
    <row r="48" ht="15" customHeight="1" s="39">
      <c r="A48" s="47" t="inlineStr">
        <is>
          <t>API revenue (€k)</t>
        </is>
      </c>
      <c r="B48" s="48" t="n">
        <v>0</v>
      </c>
      <c r="C48" s="48" t="n">
        <v>25</v>
      </c>
      <c r="D48" s="48" t="n">
        <v>80</v>
      </c>
      <c r="E48" s="48" t="n">
        <v>170</v>
      </c>
      <c r="F48" s="48" t="n">
        <v>300</v>
      </c>
    </row>
    <row r="49" ht="15" customHeight="1" s="39">
      <c r="A49" s="43" t="inlineStr">
        <is>
          <t>LIVE (selected scenario)</t>
        </is>
      </c>
    </row>
    <row r="50" ht="15" customHeight="1" s="39">
      <c r="A50" s="53" t="inlineStr">
        <is>
          <t>Newsroom team plans (year-end)</t>
        </is>
      </c>
      <c r="B50" s="54">
        <f>CHOOSE($B$4,B32,B38,B44)</f>
        <v/>
      </c>
      <c r="C50" s="54">
        <f>CHOOSE($B$4,C32,C38,C44)</f>
        <v/>
      </c>
      <c r="D50" s="54">
        <f>CHOOSE($B$4,D32,D38,D44)</f>
        <v/>
      </c>
      <c r="E50" s="54">
        <f>CHOOSE($B$4,E32,E38,E44)</f>
        <v/>
      </c>
      <c r="F50" s="54">
        <f>CHOOSE($B$4,F32,F38,F44)</f>
        <v/>
      </c>
    </row>
    <row r="51" ht="15" customHeight="1" s="39">
      <c r="A51" s="53" t="inlineStr">
        <is>
          <t>Election / event packages (in year)</t>
        </is>
      </c>
      <c r="B51" s="54">
        <f>CHOOSE($B$4,B33,B39,B45)</f>
        <v/>
      </c>
      <c r="C51" s="54">
        <f>CHOOSE($B$4,C33,C39,C45)</f>
        <v/>
      </c>
      <c r="D51" s="54">
        <f>CHOOSE($B$4,D33,D39,D45)</f>
        <v/>
      </c>
      <c r="E51" s="54">
        <f>CHOOSE($B$4,E33,E39,E45)</f>
        <v/>
      </c>
      <c r="F51" s="54">
        <f>CHOOSE($B$4,F33,F39,F45)</f>
        <v/>
      </c>
    </row>
    <row r="52" ht="15" customHeight="1" s="39">
      <c r="A52" s="53" t="inlineStr">
        <is>
          <t>PR &amp; communications clients (year-end)</t>
        </is>
      </c>
      <c r="B52" s="54">
        <f>CHOOSE($B$4,B34,B40,B46)</f>
        <v/>
      </c>
      <c r="C52" s="54">
        <f>CHOOSE($B$4,C34,C40,C46)</f>
        <v/>
      </c>
      <c r="D52" s="54">
        <f>CHOOSE($B$4,D34,D40,D46)</f>
        <v/>
      </c>
      <c r="E52" s="54">
        <f>CHOOSE($B$4,E34,E40,E46)</f>
        <v/>
      </c>
      <c r="F52" s="54">
        <f>CHOOSE($B$4,F34,F40,F46)</f>
        <v/>
      </c>
    </row>
    <row r="53" ht="15" customHeight="1" s="39">
      <c r="A53" s="53" t="inlineStr">
        <is>
          <t>Public-integrity licences (year-end)</t>
        </is>
      </c>
      <c r="B53" s="54">
        <f>CHOOSE($B$4,B35,B41,B47)</f>
        <v/>
      </c>
      <c r="C53" s="54">
        <f>CHOOSE($B$4,C35,C41,C47)</f>
        <v/>
      </c>
      <c r="D53" s="54">
        <f>CHOOSE($B$4,D35,D41,D47)</f>
        <v/>
      </c>
      <c r="E53" s="54">
        <f>CHOOSE($B$4,E35,E41,E47)</f>
        <v/>
      </c>
      <c r="F53" s="54">
        <f>CHOOSE($B$4,F35,F41,F47)</f>
        <v/>
      </c>
    </row>
    <row r="54" ht="15" customHeight="1" s="39">
      <c r="A54" s="53" t="inlineStr">
        <is>
          <t>API revenue (€k)</t>
        </is>
      </c>
      <c r="B54" s="54">
        <f>CHOOSE($B$4,B36,B42,B48)</f>
        <v/>
      </c>
      <c r="C54" s="54">
        <f>CHOOSE($B$4,C36,C42,C48)</f>
        <v/>
      </c>
      <c r="D54" s="54">
        <f>CHOOSE($B$4,D36,D42,D48)</f>
        <v/>
      </c>
      <c r="E54" s="54">
        <f>CHOOSE($B$4,E36,E42,E48)</f>
        <v/>
      </c>
      <c r="F54" s="54">
        <f>CHOOSE($B$4,F36,F42,F48)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G4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4" customWidth="1" style="38" min="1" max="1"/>
    <col width="60" customWidth="1" style="38" min="2" max="2"/>
    <col width="30" customWidth="1" style="38" min="3" max="3"/>
    <col width="60" customWidth="1" style="38" min="4" max="4"/>
  </cols>
  <sheetData>
    <row r="1" ht="17.35" customHeight="1" s="39">
      <c r="A1" s="87" t="inlineStr">
        <is>
          <t>Competitor prices and unit economics (October 2026)</t>
        </is>
      </c>
    </row>
    <row r="3" ht="15" customHeight="1" s="39">
      <c r="A3" s="55" t="inlineStr">
        <is>
          <t>Player</t>
        </is>
      </c>
      <c r="B3" s="55" t="inlineStr">
        <is>
          <t>Price evidence</t>
        </is>
      </c>
      <c r="C3" s="55" t="inlineStr">
        <is>
          <t>Segment</t>
        </is>
      </c>
      <c r="D3" s="55" t="inlineStr">
        <is>
          <t>Source</t>
        </is>
      </c>
    </row>
    <row r="4" ht="23.85" customHeight="1" s="39">
      <c r="A4" s="56" t="inlineStr">
        <is>
          <t>Meltwater</t>
        </is>
      </c>
      <c r="B4" s="88" t="inlineStr">
        <is>
          <t>Quote only; Vendr 2026: most contracts $16–70k/yr, median ≈$25k; public contract (June 2026) $15.8k first year</t>
        </is>
      </c>
      <c r="C4" s="56" t="inlineStr">
        <is>
          <t>PR / monitoring</t>
        </is>
      </c>
      <c r="D4" s="88" t="inlineStr">
        <is>
          <t>https://www.vendr.com/marketplace/meltwater</t>
        </is>
      </c>
    </row>
    <row r="5" ht="15" customHeight="1" s="39">
      <c r="A5" s="56" t="inlineStr">
        <is>
          <t>Cision</t>
        </is>
      </c>
      <c r="B5" s="56" t="inlineStr">
        <is>
          <t>SMB ≈ $8–10k/yr; enterprise ≈ $75–94k/yr</t>
        </is>
      </c>
      <c r="C5" s="56" t="inlineStr">
        <is>
          <t>PR / monitoring</t>
        </is>
      </c>
      <c r="D5" s="56" t="inlineStr">
        <is>
          <t>https://www.spendhound.com/marketplace/meltwater</t>
        </is>
      </c>
    </row>
    <row r="6" ht="15" customHeight="1" s="39">
      <c r="A6" s="56" t="inlineStr">
        <is>
          <t>Brandwatch / Talkwalker</t>
        </is>
      </c>
      <c r="B6" s="56" t="inlineStr">
        <is>
          <t>Mid-size $24–60k/yr; Talkwalker 20–30% lower</t>
        </is>
      </c>
      <c r="C6" s="56" t="inlineStr">
        <is>
          <t>Social listening</t>
        </is>
      </c>
      <c r="D6" s="56" t="inlineStr">
        <is>
          <t>https://toolradar.com/tools/brandwatch/calculator</t>
        </is>
      </c>
    </row>
    <row r="7" ht="15" customHeight="1" s="39">
      <c r="A7" s="56" t="inlineStr">
        <is>
          <t>NewsWhip</t>
        </is>
      </c>
      <c r="B7" s="56" t="inlineStr">
        <is>
          <t>Per user, quoted per contract</t>
        </is>
      </c>
      <c r="C7" s="56" t="inlineStr">
        <is>
          <t>Monitoring</t>
        </is>
      </c>
      <c r="D7" s="56" t="inlineStr">
        <is>
          <t>https://www.capterra.com/p/161408/NewsWhip/</t>
        </is>
      </c>
    </row>
    <row r="8" ht="15" customHeight="1" s="39">
      <c r="A8" s="56" t="inlineStr">
        <is>
          <t>Factiverse</t>
        </is>
      </c>
      <c r="B8" s="56" t="inlineStr">
        <is>
          <t>Pricing on request</t>
        </is>
      </c>
      <c r="C8" s="56" t="inlineStr">
        <is>
          <t>Newsroom fact-checking</t>
        </is>
      </c>
      <c r="D8" s="56" t="inlineStr">
        <is>
          <t>https://www.itechguides.com/best/ai-fact-checking-tools/</t>
        </is>
      </c>
    </row>
    <row r="9" ht="15" customHeight="1" s="39">
      <c r="A9" s="56" t="inlineStr">
        <is>
          <t>Self-serve AI fact-check tools</t>
        </is>
      </c>
      <c r="B9" s="56" t="inlineStr">
        <is>
          <t>$15–45/month; Parafact from $29/month</t>
        </is>
      </c>
      <c r="C9" s="56" t="inlineStr">
        <is>
          <t>Individuals</t>
        </is>
      </c>
      <c r="D9" s="56" t="inlineStr">
        <is>
          <t>https://viralbuster.odoo.com/pricing</t>
        </is>
      </c>
    </row>
    <row r="10" ht="15" customHeight="1" s="39">
      <c r="A10" s="56" t="inlineStr">
        <is>
          <t>Claim-check API</t>
        </is>
      </c>
      <c r="B10" s="56" t="inlineStr">
        <is>
          <t>≈ $8 per 1,000 claims</t>
        </is>
      </c>
      <c r="C10" s="56" t="inlineStr">
        <is>
          <t>API</t>
        </is>
      </c>
      <c r="D10" s="56" t="inlineStr">
        <is>
          <t>https://apify.com/drain54/verify-api/api</t>
        </is>
      </c>
    </row>
    <row r="11" ht="15" customHeight="1" s="39">
      <c r="A11" s="56" t="inlineStr">
        <is>
          <t>TinEye API</t>
        </is>
      </c>
      <c r="B11" s="56" t="inlineStr">
        <is>
          <t>$0.01–0.04 per image search</t>
        </is>
      </c>
      <c r="C11" s="56" t="inlineStr">
        <is>
          <t>API / images</t>
        </is>
      </c>
      <c r="D11" s="56" t="inlineStr">
        <is>
          <t>https://blog.tineye.com/new-image-search-pricing/</t>
        </is>
      </c>
    </row>
    <row r="12" ht="15" customHeight="1" s="39">
      <c r="A12" s="56" t="inlineStr">
        <is>
          <t>Recorded Future / Maltego</t>
        </is>
      </c>
      <c r="B12" s="56" t="inlineStr">
        <is>
          <t>$25k+/yr; Maltego public-sector pricing on request</t>
        </is>
      </c>
      <c r="C12" s="56" t="inlineStr">
        <is>
          <t>OSINT / police</t>
        </is>
      </c>
      <c r="D12" s="56" t="inlineStr">
        <is>
          <t>https://ethicalhacking.ai/pricing/maltego-pricing</t>
        </is>
      </c>
    </row>
    <row r="13">
      <c r="A13" s="85" t="inlineStr">
        <is>
          <t>Perplexity Pro</t>
        </is>
      </c>
      <c r="B13" s="85" t="inlineStr">
        <is>
          <t>$20/month per user</t>
        </is>
      </c>
      <c r="C13" s="85" t="inlineStr">
        <is>
          <t>General AI answers with citations</t>
        </is>
      </c>
      <c r="D13" s="85" t="inlineStr">
        <is>
          <t>https://perspectiveai.xyz/best-ai-for-journalism-2026/</t>
        </is>
      </c>
    </row>
    <row r="14">
      <c r="A14" s="85" t="inlineStr">
        <is>
          <t>Google Fact Check Explorer</t>
        </is>
      </c>
      <c r="B14" s="85" t="inlineStr">
        <is>
          <t>Free (ClaimReview index; counterview queries it in every check)</t>
        </is>
      </c>
      <c r="C14" s="85" t="inlineStr">
        <is>
          <t>Published fact-checks only</t>
        </is>
      </c>
      <c r="D14" s="85" t="inlineStr">
        <is>
          <t>https://toolbox.google.com/factcheck/explorer</t>
        </is>
      </c>
    </row>
    <row r="15" ht="15" customHeight="1" s="39">
      <c r="A15" s="47" t="n"/>
      <c r="B15" s="47" t="n"/>
      <c r="C15" s="47" t="n"/>
      <c r="D15" s="47" t="n"/>
      <c r="E15" s="47" t="n"/>
      <c r="F15" s="47" t="n"/>
      <c r="G15" s="47" t="n"/>
    </row>
    <row r="16" ht="15" customHeight="1" s="39">
      <c r="A16" s="47" t="n"/>
      <c r="B16" s="47" t="n"/>
      <c r="C16" s="47" t="n"/>
      <c r="D16" s="47" t="n"/>
      <c r="E16" s="47" t="n"/>
      <c r="F16" s="47" t="n"/>
      <c r="G16" s="47" t="n"/>
    </row>
    <row r="17" ht="15" customHeight="1" s="39">
      <c r="A17" s="79" t="inlineStr">
        <is>
          <t>Unit cost per check at list API prices (measured 12–18 Oct 2026; 1 EUR = 1.15 USD)</t>
        </is>
      </c>
      <c r="B17" s="81" t="n"/>
      <c r="C17" s="81" t="n"/>
      <c r="D17" s="81" t="n"/>
      <c r="E17" s="81" t="n"/>
      <c r="F17" s="81" t="n"/>
      <c r="G17" s="81" t="n"/>
    </row>
    <row r="18" ht="15" customHeight="1" s="39">
      <c r="A18" s="89" t="inlineStr">
        <is>
          <t>Check</t>
        </is>
      </c>
      <c r="B18" s="89" t="inlineStr">
        <is>
          <t>Live web (€)</t>
        </is>
      </c>
      <c r="C18" s="89" t="inlineStr">
        <is>
          <t>Web-search share</t>
        </is>
      </c>
      <c r="D18" s="89" t="inlineStr">
        <is>
          <t>Offline (€)</t>
        </is>
      </c>
      <c r="E18" s="89" t="inlineStr">
        <is>
          <t>Credits</t>
        </is>
      </c>
      <c r="F18" s="89" t="inlineStr">
        <is>
          <t>Measured on</t>
        </is>
      </c>
      <c r="G18" s="81" t="n"/>
    </row>
    <row r="19" ht="15" customHeight="1" s="39">
      <c r="A19" s="81" t="inlineStr">
        <is>
          <t>Typed text claim</t>
        </is>
      </c>
      <c r="B19" s="90" t="n">
        <v>0.09</v>
      </c>
      <c r="C19" s="91" t="n">
        <v>0.92</v>
      </c>
      <c r="D19" s="90" t="n">
        <v>0.008999999999999999</v>
      </c>
      <c r="E19" s="90" t="n">
        <v>1</v>
      </c>
      <c r="F19" s="82" t="inlineStr">
        <is>
          <t>8 checks: €0.088–0.132; offline: 1 check</t>
        </is>
      </c>
      <c r="G19" s="81" t="n"/>
    </row>
    <row r="20" ht="15" customHeight="1" s="39">
      <c r="A20" s="81" t="inlineStr">
        <is>
          <t>Image post with caption</t>
        </is>
      </c>
      <c r="B20" s="90" t="n">
        <v>0.17</v>
      </c>
      <c r="C20" s="91" t="n">
        <v>0.93</v>
      </c>
      <c r="D20" s="90" t="n">
        <v>0.02</v>
      </c>
      <c r="E20" s="90" t="n">
        <v>2</v>
      </c>
      <c r="F20" s="82" t="inlineStr">
        <is>
          <t>7 checks: €0.093–0.176; offline estimated</t>
        </is>
      </c>
      <c r="G20" s="81" t="n"/>
    </row>
    <row r="21" ht="15" customHeight="1" s="39">
      <c r="A21" s="81" t="inlineStr">
        <is>
          <t>Video: each claim the user ticks</t>
        </is>
      </c>
      <c r="B21" s="90" t="n">
        <v>0.1</v>
      </c>
      <c r="C21" s="91" t="n">
        <v>0.9</v>
      </c>
      <c r="D21" s="90" t="n">
        <v>0.01</v>
      </c>
      <c r="E21" s="90" t="n">
        <v>1</v>
      </c>
      <c r="F21" s="82" t="inlineStr">
        <is>
          <t>Picker runs: €0.07 (19 claims) – €0.11 (10)</t>
        </is>
      </c>
      <c r="G21" s="81" t="n"/>
    </row>
    <row r="22" ht="15" customHeight="1" s="39">
      <c r="A22" s="81" t="inlineStr">
        <is>
          <t>Video: transcription + claim extraction, per minute</t>
        </is>
      </c>
      <c r="B22" s="90" t="n">
        <v>0.004</v>
      </c>
      <c r="C22" s="91" t="n">
        <v>0</v>
      </c>
      <c r="D22" s="90" t="n">
        <v>0.004</v>
      </c>
      <c r="E22" s="92" t="n">
        <v>0</v>
      </c>
      <c r="F22" s="82" t="inlineStr">
        <is>
          <t>Included; Whisper and embeddings on own GPU</t>
        </is>
      </c>
      <c r="G22" s="81" t="n"/>
    </row>
    <row r="23" ht="15" customHeight="1" s="39">
      <c r="A23" s="79" t="inlineStr">
        <is>
          <t>Planning cost per credit (median ≈ €0.09 + 30% buffer: retries, hard claims, extra rounds)</t>
        </is>
      </c>
      <c r="B23" s="90" t="n">
        <v>0.12</v>
      </c>
      <c r="C23" s="81" t="n"/>
      <c r="D23" s="93" t="n"/>
      <c r="E23" s="81" t="n"/>
      <c r="F23" s="81" t="n"/>
      <c r="G23" s="81" t="n"/>
    </row>
    <row r="24" ht="15" customHeight="1" s="39">
      <c r="A24" s="81" t="inlineStr">
        <is>
          <t>Economy-search cost per credit (Brave only: 7 searches + AI judge)</t>
        </is>
      </c>
      <c r="B24" s="90" t="n">
        <v>0.04</v>
      </c>
      <c r="C24" s="81" t="n"/>
      <c r="D24" s="93" t="n"/>
      <c r="E24" s="81" t="n"/>
      <c r="F24" s="81" t="n"/>
      <c r="G24" s="81" t="n"/>
    </row>
    <row r="25" ht="15" customHeight="1" s="39">
      <c r="A25" s="81" t="n"/>
      <c r="B25" s="81" t="n"/>
      <c r="C25" s="81" t="n"/>
      <c r="D25" s="93" t="n"/>
      <c r="E25" s="81" t="n"/>
      <c r="F25" s="81" t="n"/>
      <c r="G25" s="81" t="n"/>
    </row>
    <row r="26" ht="15" customHeight="1" s="39">
      <c r="A26" s="89" t="inlineStr">
        <is>
          <t>Plan (full allowance use)</t>
        </is>
      </c>
      <c r="B26" s="89" t="inlineStr">
        <is>
          <t>Price (€)</t>
        </is>
      </c>
      <c r="C26" s="89" t="inlineStr">
        <is>
          <t>Credits included</t>
        </is>
      </c>
      <c r="D26" s="94" t="inlineStr">
        <is>
          <t>Other usage (€)</t>
        </is>
      </c>
      <c r="E26" s="89" t="inlineStr">
        <is>
          <t>Usage cost (€)</t>
        </is>
      </c>
      <c r="F26" s="89" t="inlineStr">
        <is>
          <t>Share of price</t>
        </is>
      </c>
      <c r="G26" s="89" t="inlineStr">
        <is>
          <t>Gross margin*</t>
        </is>
      </c>
    </row>
    <row r="27">
      <c r="A27" s="81" t="inlineStr">
        <is>
          <t>Newsroom team plan (average), per month</t>
        </is>
      </c>
      <c r="B27" s="95">
        <f>Assumptions!B7*1000/12</f>
        <v/>
      </c>
      <c r="C27" s="96" t="n">
        <v>600</v>
      </c>
      <c r="D27" s="97" t="n">
        <v>0</v>
      </c>
      <c r="E27" s="98">
        <f>C27*$B$23+D27</f>
        <v/>
      </c>
      <c r="F27" s="99">
        <f>E27/B27</f>
        <v/>
      </c>
      <c r="G27" s="99">
        <f>1-F27-Assumptions!$B$12-Assumptions!$B$17</f>
        <v/>
      </c>
    </row>
    <row r="28">
      <c r="A28" s="81" t="inlineStr">
        <is>
          <t>Newsroom team plan (entry), per month</t>
        </is>
      </c>
      <c r="B28" s="97" t="n">
        <v>450</v>
      </c>
      <c r="C28" s="96" t="n">
        <v>300</v>
      </c>
      <c r="D28" s="97" t="n">
        <v>0</v>
      </c>
      <c r="E28" s="98">
        <f>C28*$B$23+D28</f>
        <v/>
      </c>
      <c r="F28" s="99">
        <f>E28/B28</f>
        <v/>
      </c>
      <c r="G28" s="99">
        <f>1-F28-Assumptions!$B$12-Assumptions!$B$17</f>
        <v/>
      </c>
    </row>
    <row r="29">
      <c r="A29" s="81" t="inlineStr">
        <is>
          <t>PR &amp; communications workspace, per month</t>
        </is>
      </c>
      <c r="B29" s="95" t="n">
        <v>1200</v>
      </c>
      <c r="C29" s="96" t="n">
        <v>1000</v>
      </c>
      <c r="D29" s="97" t="n">
        <v>21</v>
      </c>
      <c r="E29" s="98">
        <f>C29*$B$23+D29</f>
        <v/>
      </c>
      <c r="F29" s="99">
        <f>E29/B29</f>
        <v/>
      </c>
      <c r="G29" s="99">
        <f>1-F29-Assumptions!$B$12-Assumptions!$B$17</f>
        <v/>
      </c>
    </row>
    <row r="30">
      <c r="A30" s="81" t="inlineStr">
        <is>
          <t>Election / event package, per campaign</t>
        </is>
      </c>
      <c r="B30" s="95">
        <f>Assumptions!B11*1000</f>
        <v/>
      </c>
      <c r="C30" s="96" t="n">
        <v>10000</v>
      </c>
      <c r="D30" s="97" t="n">
        <v>200</v>
      </c>
      <c r="E30" s="98">
        <f>C30*$B$23+D30</f>
        <v/>
      </c>
      <c r="F30" s="99">
        <f>E30/B30</f>
        <v/>
      </c>
      <c r="G30" s="99">
        <f>1-F30-Assumptions!$B$12-Assumptions!$B$17</f>
        <v/>
      </c>
    </row>
    <row r="31">
      <c r="A31" s="81" t="inlineStr">
        <is>
          <t>Extra credits, per credit (newsroom €0.50; PR €0.40)</t>
        </is>
      </c>
      <c r="B31" s="100" t="n">
        <v>0.5</v>
      </c>
      <c r="C31" s="96" t="n">
        <v>1</v>
      </c>
      <c r="D31" s="97" t="n">
        <v>0</v>
      </c>
      <c r="E31" s="101">
        <f>C31*$B$23+D31</f>
        <v/>
      </c>
      <c r="F31" s="99">
        <f>E31/B31</f>
        <v/>
      </c>
      <c r="G31" s="99">
        <f>1-F31-Assumptions!$B$12-Assumptions!$B$17</f>
        <v/>
      </c>
    </row>
    <row r="32">
      <c r="A32" s="81" t="inlineStr">
        <is>
          <t>API standard search, per credit</t>
        </is>
      </c>
      <c r="B32" s="100" t="n">
        <v>0.5</v>
      </c>
      <c r="C32" s="96" t="n">
        <v>1</v>
      </c>
      <c r="D32" s="97" t="n">
        <v>0</v>
      </c>
      <c r="E32" s="101">
        <f>C32*$B$23+D32</f>
        <v/>
      </c>
      <c r="F32" s="99">
        <f>E32/B32</f>
        <v/>
      </c>
      <c r="G32" s="99">
        <f>1-F32-Assumptions!$B$12-Assumptions!$B$17</f>
        <v/>
      </c>
    </row>
    <row r="33">
      <c r="A33" s="81" t="inlineStr">
        <is>
          <t>API economy search (Brave only), per credit</t>
        </is>
      </c>
      <c r="B33" s="100" t="n">
        <v>0.2</v>
      </c>
      <c r="C33" s="96" t="n">
        <v>1</v>
      </c>
      <c r="D33" s="97" t="n">
        <v>0</v>
      </c>
      <c r="E33" s="101">
        <f>C33*$B$24+D33</f>
        <v/>
      </c>
      <c r="F33" s="99">
        <f>E33/B33</f>
        <v/>
      </c>
      <c r="G33" s="99">
        <f>1-F33-Assumptions!$B$12-Assumptions!$B$17</f>
        <v/>
      </c>
    </row>
    <row r="34">
      <c r="A34" s="81" t="inlineStr">
        <is>
          <t>v28 newsroom design for comparison (250 text, 50 image, 120 video min at €0.73/min)</t>
        </is>
      </c>
      <c r="B34" s="81" t="n"/>
      <c r="C34" s="81" t="n"/>
      <c r="D34" s="93" t="n"/>
      <c r="E34" s="98">
        <f>250*B19+50*B20+120*0.73</f>
        <v/>
      </c>
      <c r="F34" s="99">
        <f>E34/B27</f>
        <v/>
      </c>
      <c r="G34" s="81" t="n"/>
    </row>
    <row r="35">
      <c r="A35" s="81" t="n"/>
      <c r="B35" s="81" t="n"/>
      <c r="C35" s="102" t="n"/>
      <c r="D35" s="102" t="n"/>
      <c r="E35" s="81" t="n"/>
      <c r="F35" s="81" t="n"/>
      <c r="G35" s="81" t="n"/>
    </row>
    <row r="36">
      <c r="A36" s="82" t="inlineStr">
        <is>
          <t>*Before production hosting and customer success, which are fixed costs in the P&amp;L cost of revenue. After 2% royalty and 2% payment fees.</t>
        </is>
      </c>
      <c r="B36" s="81" t="n"/>
      <c r="C36" s="102" t="n"/>
      <c r="D36" s="102" t="n"/>
      <c r="E36" s="81" t="n"/>
      <c r="F36" s="81" t="n"/>
      <c r="G36" s="81" t="n"/>
    </row>
    <row r="37">
      <c r="A37" s="82" t="inlineStr">
        <is>
          <t>List prices: Google grounded search (Gemini 2.5) $35 per 1,000 prompts; Gemini 3 grounding $14 per 1,000 queries; Brave Search $5 per 1,000; Google Vision web detection $3.50 per 1,000; OpenAI judge as billed. Free tiers (1,500 Google prompts a day) are upside, not plan.</t>
        </is>
      </c>
      <c r="B37" s="81" t="n"/>
      <c r="C37" s="81" t="n"/>
      <c r="D37" s="81" t="n"/>
      <c r="E37" s="81" t="n"/>
      <c r="F37" s="81" t="n"/>
      <c r="G37" s="81" t="n"/>
    </row>
    <row r="38">
      <c r="A38" s="82" t="inlineStr">
        <is>
          <t>Credits: 1 per live text claim or ticked video claim, 2 per image post, 1 per extra search round; checks answered from the offline library or a topic pack use no credit.</t>
        </is>
      </c>
      <c r="B38" s="81" t="n"/>
      <c r="C38" s="81" t="n"/>
      <c r="D38" s="81" t="n"/>
      <c r="E38" s="81" t="n"/>
      <c r="F38" s="81" t="n"/>
      <c r="G38" s="81" t="n"/>
    </row>
    <row r="39">
      <c r="A39" s="81" t="n"/>
      <c r="B39" s="81" t="n"/>
      <c r="C39" s="81" t="n"/>
      <c r="D39" s="81" t="n"/>
      <c r="E39" s="81" t="n"/>
      <c r="F39" s="81" t="n"/>
      <c r="G39" s="81" t="n"/>
    </row>
    <row r="40">
      <c r="A40" s="81" t="n"/>
      <c r="B40" s="81" t="n"/>
      <c r="C40" s="81" t="n"/>
      <c r="D40" s="81" t="n"/>
      <c r="E40" s="81" t="n"/>
      <c r="F40" s="81" t="n"/>
      <c r="G40" s="81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G2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2" customWidth="1" style="38" min="2" max="6"/>
    <col width="60" customWidth="1" style="38" min="7" max="7"/>
  </cols>
  <sheetData>
    <row r="1" ht="17.35" customHeight="1" s="39">
      <c r="A1" s="40" t="inlineStr">
        <is>
          <t>Sales projections</t>
        </is>
      </c>
    </row>
    <row r="2" ht="15" customHeight="1" s="39">
      <c r="A2" s="45" t="inlineStr">
        <is>
          <t>Revenue uses average active customers.</t>
        </is>
      </c>
    </row>
    <row r="3" ht="15" customHeight="1" s="39">
      <c r="A3" s="41" t="inlineStr">
        <is>
          <t>€ thousands</t>
        </is>
      </c>
      <c r="B3" s="41" t="inlineStr">
        <is>
          <t>2027</t>
        </is>
      </c>
      <c r="C3" s="41" t="inlineStr">
        <is>
          <t>2028</t>
        </is>
      </c>
      <c r="D3" s="41" t="inlineStr">
        <is>
          <t>2029</t>
        </is>
      </c>
      <c r="E3" s="41" t="inlineStr">
        <is>
          <t>2030</t>
        </is>
      </c>
      <c r="F3" s="41" t="inlineStr">
        <is>
          <t>2031</t>
        </is>
      </c>
    </row>
    <row r="4" ht="15" customHeight="1" s="39">
      <c r="A4" s="47" t="inlineStr">
        <is>
          <t>Newsroom team plans (year-end)</t>
        </is>
      </c>
      <c r="B4" s="61">
        <f>Assumptions!B50</f>
        <v/>
      </c>
      <c r="C4" s="61">
        <f>Assumptions!C50</f>
        <v/>
      </c>
      <c r="D4" s="61">
        <f>Assumptions!D50</f>
        <v/>
      </c>
      <c r="E4" s="61">
        <f>Assumptions!E50</f>
        <v/>
      </c>
      <c r="F4" s="61">
        <f>Assumptions!F50</f>
        <v/>
      </c>
    </row>
    <row r="5" ht="15" customHeight="1" s="39">
      <c r="A5" s="47" t="inlineStr">
        <is>
          <t>Newsroom team plans — average</t>
        </is>
      </c>
      <c r="B5" s="62">
        <f>B4/2</f>
        <v/>
      </c>
      <c r="C5" s="62">
        <f>(B4+C4)/2</f>
        <v/>
      </c>
      <c r="D5" s="62">
        <f>(C4+D4)/2</f>
        <v/>
      </c>
      <c r="E5" s="62">
        <f>(D4+E4)/2</f>
        <v/>
      </c>
      <c r="F5" s="62">
        <f>(E4+F4)/2</f>
        <v/>
      </c>
    </row>
    <row r="6" ht="15" customHeight="1" s="39">
      <c r="A6" s="47" t="inlineStr">
        <is>
          <t>Team plan revenue</t>
        </is>
      </c>
      <c r="B6" s="63">
        <f>ROUND(B5*Assumptions!$B$7,0)</f>
        <v/>
      </c>
      <c r="C6" s="63">
        <f>ROUND(C5*Assumptions!$B$7,0)</f>
        <v/>
      </c>
      <c r="D6" s="63">
        <f>ROUND(D5*Assumptions!$B$7,0)</f>
        <v/>
      </c>
      <c r="E6" s="63">
        <f>ROUND(E5*Assumptions!$B$7,0)</f>
        <v/>
      </c>
      <c r="F6" s="63">
        <f>ROUND(F5*Assumptions!$B$7,0)</f>
        <v/>
      </c>
    </row>
    <row r="7" ht="15" customHeight="1" s="39">
      <c r="A7" s="47" t="inlineStr">
        <is>
          <t>Election / event packages</t>
        </is>
      </c>
      <c r="B7" s="61">
        <f>Assumptions!B51</f>
        <v/>
      </c>
      <c r="C7" s="61">
        <f>Assumptions!C51</f>
        <v/>
      </c>
      <c r="D7" s="61">
        <f>Assumptions!D51</f>
        <v/>
      </c>
      <c r="E7" s="61">
        <f>Assumptions!E51</f>
        <v/>
      </c>
      <c r="F7" s="61">
        <f>Assumptions!F51</f>
        <v/>
      </c>
    </row>
    <row r="8" ht="15" customHeight="1" s="39">
      <c r="A8" s="47" t="inlineStr">
        <is>
          <t>Package revenue</t>
        </is>
      </c>
      <c r="B8" s="63">
        <f>B7*Assumptions!$B$11</f>
        <v/>
      </c>
      <c r="C8" s="63">
        <f>C7*Assumptions!$B$11</f>
        <v/>
      </c>
      <c r="D8" s="63">
        <f>D7*Assumptions!$B$11</f>
        <v/>
      </c>
      <c r="E8" s="63">
        <f>E7*Assumptions!$B$11</f>
        <v/>
      </c>
      <c r="F8" s="63">
        <f>F7*Assumptions!$B$11</f>
        <v/>
      </c>
    </row>
    <row r="9" ht="15" customHeight="1" s="39">
      <c r="A9" s="43" t="inlineStr">
        <is>
          <t>NEWSROOMS revenue</t>
        </is>
      </c>
      <c r="B9" s="64">
        <f>B6+B8</f>
        <v/>
      </c>
      <c r="C9" s="64">
        <f>C6+C8</f>
        <v/>
      </c>
      <c r="D9" s="64">
        <f>D6+D8</f>
        <v/>
      </c>
      <c r="E9" s="64">
        <f>E6+E8</f>
        <v/>
      </c>
      <c r="F9" s="64">
        <f>F6+F8</f>
        <v/>
      </c>
    </row>
    <row r="11" ht="15" customHeight="1" s="39">
      <c r="A11" s="47" t="inlineStr">
        <is>
          <t>PR &amp; communications clients (year-end)</t>
        </is>
      </c>
      <c r="B11" s="61">
        <f>Assumptions!B52</f>
        <v/>
      </c>
      <c r="C11" s="61">
        <f>Assumptions!C52</f>
        <v/>
      </c>
      <c r="D11" s="61">
        <f>Assumptions!D52</f>
        <v/>
      </c>
      <c r="E11" s="61">
        <f>Assumptions!E52</f>
        <v/>
      </c>
      <c r="F11" s="61">
        <f>Assumptions!F52</f>
        <v/>
      </c>
    </row>
    <row r="12" ht="15" customHeight="1" s="39">
      <c r="A12" s="47" t="inlineStr">
        <is>
          <t>PR &amp; communications clients — average</t>
        </is>
      </c>
      <c r="B12" s="62">
        <f>B11/2</f>
        <v/>
      </c>
      <c r="C12" s="62">
        <f>(B11+C11)/2</f>
        <v/>
      </c>
      <c r="D12" s="62">
        <f>(C11+D11)/2</f>
        <v/>
      </c>
      <c r="E12" s="62">
        <f>(D11+E11)/2</f>
        <v/>
      </c>
      <c r="F12" s="62">
        <f>(E11+F11)/2</f>
        <v/>
      </c>
    </row>
    <row r="13" ht="15" customHeight="1" s="39">
      <c r="A13" s="43" t="inlineStr">
        <is>
          <t>PR &amp; COMMUNICATIONS revenue</t>
        </is>
      </c>
      <c r="B13" s="64">
        <f>ROUND(B12*Assumptions!$B$8,0)</f>
        <v/>
      </c>
      <c r="C13" s="64">
        <f>ROUND(C12*Assumptions!$B$8,0)</f>
        <v/>
      </c>
      <c r="D13" s="64">
        <f>ROUND(D12*Assumptions!$B$8,0)</f>
        <v/>
      </c>
      <c r="E13" s="64">
        <f>ROUND(E12*Assumptions!$B$8,0)</f>
        <v/>
      </c>
      <c r="F13" s="64">
        <f>ROUND(F12*Assumptions!$B$8,0)</f>
        <v/>
      </c>
    </row>
    <row r="15" ht="15" customHeight="1" s="39">
      <c r="A15" s="47" t="inlineStr">
        <is>
          <t>Public-integrity licences (year-end)</t>
        </is>
      </c>
      <c r="B15" s="61">
        <f>Assumptions!B53</f>
        <v/>
      </c>
      <c r="C15" s="61">
        <f>Assumptions!C53</f>
        <v/>
      </c>
      <c r="D15" s="61">
        <f>Assumptions!D53</f>
        <v/>
      </c>
      <c r="E15" s="61">
        <f>Assumptions!E53</f>
        <v/>
      </c>
      <c r="F15" s="61">
        <f>Assumptions!F53</f>
        <v/>
      </c>
    </row>
    <row r="16" ht="15" customHeight="1" s="39">
      <c r="A16" s="47" t="inlineStr">
        <is>
          <t>Public-integrity licences — average</t>
        </is>
      </c>
      <c r="B16" s="62">
        <f>B15/2</f>
        <v/>
      </c>
      <c r="C16" s="62">
        <f>(B15+C15)/2</f>
        <v/>
      </c>
      <c r="D16" s="62">
        <f>(C15+D15)/2</f>
        <v/>
      </c>
      <c r="E16" s="62">
        <f>(D15+E15)/2</f>
        <v/>
      </c>
      <c r="F16" s="62">
        <f>(E15+F15)/2</f>
        <v/>
      </c>
    </row>
    <row r="17" ht="15" customHeight="1" s="39">
      <c r="A17" s="47" t="inlineStr">
        <is>
          <t>Licence revenue</t>
        </is>
      </c>
      <c r="B17" s="63">
        <f>ROUND(B16*Assumptions!$B$9,0)</f>
        <v/>
      </c>
      <c r="C17" s="63">
        <f>ROUND(C16*Assumptions!$B$9,0)</f>
        <v/>
      </c>
      <c r="D17" s="63">
        <f>ROUND(D16*Assumptions!$B$9,0)</f>
        <v/>
      </c>
      <c r="E17" s="63">
        <f>ROUND(E16*Assumptions!$B$9,0)</f>
        <v/>
      </c>
      <c r="F17" s="63">
        <f>ROUND(F16*Assumptions!$B$9,0)</f>
        <v/>
      </c>
    </row>
    <row r="18" ht="15" customHeight="1" s="39">
      <c r="A18" s="47" t="inlineStr">
        <is>
          <t>New licences in year</t>
        </is>
      </c>
      <c r="B18" s="63">
        <f>MAX(B15,0)</f>
        <v/>
      </c>
      <c r="C18" s="63">
        <f>MAX(C15-B15,0)</f>
        <v/>
      </c>
      <c r="D18" s="63">
        <f>MAX(D15-C15,0)</f>
        <v/>
      </c>
      <c r="E18" s="63">
        <f>MAX(E15-D15,0)</f>
        <v/>
      </c>
      <c r="F18" s="63">
        <f>MAX(F15-E15,0)</f>
        <v/>
      </c>
    </row>
    <row r="19" ht="15" customHeight="1" s="39">
      <c r="A19" s="47" t="inlineStr">
        <is>
          <t>Set-up fees</t>
        </is>
      </c>
      <c r="B19" s="63">
        <f>B18*Assumptions!$B$10</f>
        <v/>
      </c>
      <c r="C19" s="63">
        <f>C18*Assumptions!$B$10</f>
        <v/>
      </c>
      <c r="D19" s="63">
        <f>D18*Assumptions!$B$10</f>
        <v/>
      </c>
      <c r="E19" s="63">
        <f>E18*Assumptions!$B$10</f>
        <v/>
      </c>
      <c r="F19" s="63">
        <f>F18*Assumptions!$B$10</f>
        <v/>
      </c>
    </row>
    <row r="20" ht="15" customHeight="1" s="39">
      <c r="A20" s="43" t="inlineStr">
        <is>
          <t>PUBLIC-INTEGRITY / OSINT revenue</t>
        </is>
      </c>
      <c r="B20" s="64">
        <f>B17+B19</f>
        <v/>
      </c>
      <c r="C20" s="64">
        <f>C17+C19</f>
        <v/>
      </c>
      <c r="D20" s="64">
        <f>D17+D19</f>
        <v/>
      </c>
      <c r="E20" s="64">
        <f>E17+E19</f>
        <v/>
      </c>
      <c r="F20" s="64">
        <f>F17+F19</f>
        <v/>
      </c>
    </row>
    <row r="22" ht="15" customHeight="1" s="39">
      <c r="A22" s="43" t="inlineStr">
        <is>
          <t>API revenue</t>
        </is>
      </c>
      <c r="B22" s="65">
        <f>Assumptions!B54</f>
        <v/>
      </c>
      <c r="C22" s="65">
        <f>Assumptions!C54</f>
        <v/>
      </c>
      <c r="D22" s="65">
        <f>Assumptions!D54</f>
        <v/>
      </c>
      <c r="E22" s="65">
        <f>Assumptions!E54</f>
        <v/>
      </c>
      <c r="F22" s="65">
        <f>Assumptions!F54</f>
        <v/>
      </c>
    </row>
    <row r="23">
      <c r="A23" s="38" t="inlineStr">
        <is>
          <t>Paid pilots (customers who convert; €500 newsroom, €2,500 PR)</t>
        </is>
      </c>
      <c r="B23" s="38" t="n">
        <v>12</v>
      </c>
      <c r="C23" s="38" t="n">
        <v>26</v>
      </c>
      <c r="D23" s="38" t="n">
        <v>39</v>
      </c>
      <c r="E23" s="38" t="n">
        <v>52</v>
      </c>
      <c r="F23" s="38" t="n">
        <v>72</v>
      </c>
    </row>
    <row r="24" ht="15" customHeight="1" s="39">
      <c r="A24" s="53" t="inlineStr">
        <is>
          <t>TOTAL SALES</t>
        </is>
      </c>
      <c r="B24" s="54">
        <f>B9+B13+B20+B22+B23</f>
        <v/>
      </c>
      <c r="C24" s="54">
        <f>C9+C13+C20+C22+C23</f>
        <v/>
      </c>
      <c r="D24" s="54">
        <f>D9+D13+D20+D22+D23</f>
        <v/>
      </c>
      <c r="E24" s="54">
        <f>E9+E13+E20+E22+E23</f>
        <v/>
      </c>
      <c r="F24" s="54">
        <f>F9+F13+F20+F22+F23</f>
        <v/>
      </c>
    </row>
    <row r="25" ht="15" customHeight="1" s="39">
      <c r="A25" s="43" t="inlineStr">
        <is>
          <t>ARR at year-end</t>
        </is>
      </c>
      <c r="B25" s="64">
        <f>B4*Assumptions!$B$7+B11*Assumptions!$B$8+B15*Assumptions!$B$9+B22</f>
        <v/>
      </c>
      <c r="C25" s="64">
        <f>C4*Assumptions!$B$7+C11*Assumptions!$B$8+C15*Assumptions!$B$9+C22</f>
        <v/>
      </c>
      <c r="D25" s="64">
        <f>D4*Assumptions!$B$7+D11*Assumptions!$B$8+D15*Assumptions!$B$9+D22</f>
        <v/>
      </c>
      <c r="E25" s="64">
        <f>E4*Assumptions!$B$7+E11*Assumptions!$B$8+E15*Assumptions!$B$9+E22</f>
        <v/>
      </c>
      <c r="F25" s="64">
        <f>F4*Assumptions!$B$7+F11*Assumptions!$B$8+F15*Assumptions!$B$9+F22</f>
        <v/>
      </c>
      <c r="G25" s="45" t="inlineStr">
        <is>
          <t>Excludes packages and set-up fees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F3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2" customWidth="1" style="38" min="2" max="6"/>
    <col width="60" customWidth="1" style="38" min="7" max="7"/>
  </cols>
  <sheetData>
    <row r="1" ht="17.35" customHeight="1" s="39">
      <c r="A1" s="40" t="inlineStr">
        <is>
          <t>Staff expenses</t>
        </is>
      </c>
    </row>
    <row r="2" ht="15" customHeight="1" s="39">
      <c r="A2" s="45" t="inlineStr">
        <is>
          <t>Gross cost per role (input) × social-security factor.</t>
        </is>
      </c>
    </row>
    <row r="3" ht="15" customHeight="1" s="39">
      <c r="A3" s="41" t="inlineStr">
        <is>
          <t>€ thousands</t>
        </is>
      </c>
      <c r="B3" s="41" t="inlineStr">
        <is>
          <t>2027</t>
        </is>
      </c>
      <c r="C3" s="41" t="inlineStr">
        <is>
          <t>2028</t>
        </is>
      </c>
      <c r="D3" s="41" t="inlineStr">
        <is>
          <t>2029</t>
        </is>
      </c>
      <c r="E3" s="41" t="inlineStr">
        <is>
          <t>2030</t>
        </is>
      </c>
      <c r="F3" s="41" t="inlineStr">
        <is>
          <t>2031</t>
        </is>
      </c>
    </row>
    <row r="4" ht="15" customHeight="1" s="39">
      <c r="A4" s="47" t="inlineStr">
        <is>
          <t>Founder &amp; Project Lead — gross (€k); €48k until ARR passes €300k</t>
        </is>
      </c>
      <c r="B4" s="48" t="n">
        <v>38</v>
      </c>
      <c r="C4" s="48" t="n">
        <v>48</v>
      </c>
      <c r="D4" s="48" t="n">
        <v>48</v>
      </c>
      <c r="E4" s="48" t="n">
        <v>60</v>
      </c>
      <c r="F4" s="48" t="n">
        <v>65</v>
      </c>
    </row>
    <row r="5" ht="15" customHeight="1" s="39">
      <c r="A5" s="47" t="inlineStr">
        <is>
          <t xml:space="preserve">  Loaded cost</t>
        </is>
      </c>
      <c r="B5" s="63">
        <f>ROUND(B4*Assumptions!$B$18,0)</f>
        <v/>
      </c>
      <c r="C5" s="63">
        <f>ROUND(C4*Assumptions!$B$18,0)</f>
        <v/>
      </c>
      <c r="D5" s="63">
        <f>ROUND(D4*Assumptions!$B$18,0)</f>
        <v/>
      </c>
      <c r="E5" s="63">
        <f>ROUND(E4*Assumptions!$B$18,0)</f>
        <v/>
      </c>
      <c r="F5" s="63">
        <f>ROUND(F4*Assumptions!$B$18,0)</f>
        <v/>
      </c>
    </row>
    <row r="7" ht="15" customHeight="1" s="39">
      <c r="A7" s="47" t="inlineStr">
        <is>
          <t>Head of Commercial — gross (€k); hired at €500k ARR</t>
        </is>
      </c>
      <c r="B7" s="48" t="n">
        <v>0</v>
      </c>
      <c r="C7" s="48" t="n">
        <v>0</v>
      </c>
      <c r="D7" s="48" t="n">
        <v>0</v>
      </c>
      <c r="E7" s="48" t="n">
        <v>65</v>
      </c>
      <c r="F7" s="48" t="n">
        <v>66</v>
      </c>
    </row>
    <row r="8" ht="15" customHeight="1" s="39">
      <c r="A8" s="47" t="inlineStr">
        <is>
          <t xml:space="preserve">  Loaded cost</t>
        </is>
      </c>
      <c r="B8" s="63">
        <f>ROUND(B7*Assumptions!$B$18,0)</f>
        <v/>
      </c>
      <c r="C8" s="63">
        <f>ROUND(C7*Assumptions!$B$18,0)</f>
        <v/>
      </c>
      <c r="D8" s="63">
        <f>ROUND(D7*Assumptions!$B$18,0)</f>
        <v/>
      </c>
      <c r="E8" s="63">
        <f>ROUND(E7*Assumptions!$B$18,0)</f>
        <v/>
      </c>
      <c r="F8" s="63">
        <f>ROUND(F7*Assumptions!$B$18,0)</f>
        <v/>
      </c>
    </row>
    <row r="10" ht="15" customHeight="1" s="39">
      <c r="A10" s="47" t="inlineStr">
        <is>
          <t>Business developer — gross (€k); hired at €75k ARR</t>
        </is>
      </c>
      <c r="B10" s="48" t="n">
        <v>0</v>
      </c>
      <c r="C10" s="48" t="n">
        <v>39</v>
      </c>
      <c r="D10" s="48" t="n">
        <v>40</v>
      </c>
      <c r="E10" s="48" t="n">
        <v>41</v>
      </c>
      <c r="F10" s="48" t="n">
        <v>41</v>
      </c>
    </row>
    <row r="11" ht="15" customHeight="1" s="39">
      <c r="A11" s="47" t="inlineStr">
        <is>
          <t xml:space="preserve">  Loaded cost</t>
        </is>
      </c>
      <c r="B11" s="63">
        <f>ROUND(B10*Assumptions!$B$18,0)</f>
        <v/>
      </c>
      <c r="C11" s="63">
        <f>ROUND(C10*Assumptions!$B$18,0)</f>
        <v/>
      </c>
      <c r="D11" s="63">
        <f>ROUND(D10*Assumptions!$B$18,0)</f>
        <v/>
      </c>
      <c r="E11" s="63">
        <f>ROUND(E10*Assumptions!$B$18,0)</f>
        <v/>
      </c>
      <c r="F11" s="63">
        <f>ROUND(F10*Assumptions!$B$18,0)</f>
        <v/>
      </c>
    </row>
    <row r="13" ht="15" customHeight="1" s="39">
      <c r="A13" s="47" t="inlineStr">
        <is>
          <t>ML / software engineers — gross (€k); #1 2027, #2 2028 (on-premise), #3 at €500k, #4 at €900k ARR</t>
        </is>
      </c>
      <c r="B13" s="48" t="n">
        <v>30</v>
      </c>
      <c r="C13" s="48" t="n">
        <v>92</v>
      </c>
      <c r="D13" s="48" t="n">
        <v>94</v>
      </c>
      <c r="E13" s="48" t="n">
        <v>144</v>
      </c>
      <c r="F13" s="48" t="n">
        <v>196</v>
      </c>
    </row>
    <row r="14" ht="15" customHeight="1" s="39">
      <c r="A14" s="47" t="inlineStr">
        <is>
          <t xml:space="preserve">  Loaded cost</t>
        </is>
      </c>
      <c r="B14" s="63">
        <f>ROUND(B13*Assumptions!$B$18,0)</f>
        <v/>
      </c>
      <c r="C14" s="63">
        <f>ROUND(C13*Assumptions!$B$18,0)</f>
        <v/>
      </c>
      <c r="D14" s="63">
        <f>ROUND(D13*Assumptions!$B$18,0)</f>
        <v/>
      </c>
      <c r="E14" s="63">
        <f>ROUND(E13*Assumptions!$B$18,0)</f>
        <v/>
      </c>
      <c r="F14" s="63">
        <f>ROUND(F13*Assumptions!$B$18,0)</f>
        <v/>
      </c>
    </row>
    <row r="16" ht="15" customHeight="1" s="39">
      <c r="A16" s="47" t="inlineStr">
        <is>
          <t>Customer success / deployment — gross (€k); at €250k and €900k ARR</t>
        </is>
      </c>
      <c r="B16" s="48" t="n">
        <v>0</v>
      </c>
      <c r="C16" s="48" t="n">
        <v>0</v>
      </c>
      <c r="D16" s="48" t="n">
        <v>47</v>
      </c>
      <c r="E16" s="48" t="n">
        <v>48</v>
      </c>
      <c r="F16" s="48" t="n">
        <v>98</v>
      </c>
    </row>
    <row r="17" ht="15" customHeight="1" s="39">
      <c r="A17" s="47" t="inlineStr">
        <is>
          <t xml:space="preserve">  Loaded cost</t>
        </is>
      </c>
      <c r="B17" s="63">
        <f>ROUND(B16*Assumptions!$B$18,0)</f>
        <v/>
      </c>
      <c r="C17" s="63">
        <f>ROUND(C16*Assumptions!$B$18,0)</f>
        <v/>
      </c>
      <c r="D17" s="63">
        <f>ROUND(D16*Assumptions!$B$18,0)</f>
        <v/>
      </c>
      <c r="E17" s="63">
        <f>ROUND(E16*Assumptions!$B$18,0)</f>
        <v/>
      </c>
      <c r="F17" s="63">
        <f>ROUND(F16*Assumptions!$B$18,0)</f>
        <v/>
      </c>
    </row>
    <row r="19" ht="15" customHeight="1" s="39">
      <c r="A19" s="47" t="inlineStr">
        <is>
          <t>Account executives — gross (€k); at €900k ARR</t>
        </is>
      </c>
      <c r="B19" s="48" t="n">
        <v>0</v>
      </c>
      <c r="C19" s="48" t="n">
        <v>0</v>
      </c>
      <c r="D19" s="48" t="n">
        <v>0</v>
      </c>
      <c r="E19" s="48" t="n">
        <v>0</v>
      </c>
      <c r="F19" s="48" t="n">
        <v>40</v>
      </c>
    </row>
    <row r="20" ht="15" customHeight="1" s="39">
      <c r="A20" s="47" t="inlineStr">
        <is>
          <t xml:space="preserve">  Loaded cost</t>
        </is>
      </c>
      <c r="B20" s="63">
        <f>ROUND(B19*Assumptions!$B$18,0)</f>
        <v/>
      </c>
      <c r="C20" s="63">
        <f>ROUND(C19*Assumptions!$B$18,0)</f>
        <v/>
      </c>
      <c r="D20" s="63">
        <f>ROUND(D19*Assumptions!$B$18,0)</f>
        <v/>
      </c>
      <c r="E20" s="63">
        <f>ROUND(E19*Assumptions!$B$18,0)</f>
        <v/>
      </c>
      <c r="F20" s="63">
        <f>ROUND(F19*Assumptions!$B$18,0)</f>
        <v/>
      </c>
    </row>
    <row r="22" ht="15" customHeight="1" s="39">
      <c r="A22" s="53" t="inlineStr">
        <is>
          <t>TOTAL STAFF</t>
        </is>
      </c>
      <c r="B22" s="54">
        <f>B5+B8+B11+B14+B17+B20</f>
        <v/>
      </c>
      <c r="C22" s="54">
        <f>C5+C8+C11+C14+C17+C20</f>
        <v/>
      </c>
      <c r="D22" s="54">
        <f>D5+D8+D11+D14+D17+D20</f>
        <v/>
      </c>
      <c r="E22" s="54">
        <f>E5+E8+E11+E14+E17+E20</f>
        <v/>
      </c>
      <c r="F22" s="54">
        <f>F5+F8+F11+F14+F17+F20</f>
        <v/>
      </c>
    </row>
    <row r="24" ht="15" customHeight="1" s="39">
      <c r="A24" s="43" t="inlineStr">
        <is>
          <t>Headcount (FTE at year-end)</t>
        </is>
      </c>
    </row>
    <row r="25" ht="15" customHeight="1" s="39">
      <c r="A25" s="47" t="inlineStr">
        <is>
          <t>Management (Founder &amp; Project Lead, Head of Commercial)</t>
        </is>
      </c>
      <c r="B25" s="66" t="n">
        <v>1</v>
      </c>
      <c r="C25" s="66" t="n">
        <v>1</v>
      </c>
      <c r="D25" s="66" t="n">
        <v>1</v>
      </c>
      <c r="E25" s="66" t="n">
        <v>2</v>
      </c>
      <c r="F25" s="66" t="n">
        <v>2</v>
      </c>
    </row>
    <row r="26" ht="15" customHeight="1" s="39">
      <c r="A26" s="47" t="inlineStr">
        <is>
          <t>Business developer</t>
        </is>
      </c>
      <c r="B26" s="66" t="n">
        <v>0</v>
      </c>
      <c r="C26" s="66" t="n">
        <v>1</v>
      </c>
      <c r="D26" s="66" t="n">
        <v>1</v>
      </c>
      <c r="E26" s="66" t="n">
        <v>1</v>
      </c>
      <c r="F26" s="66" t="n">
        <v>1</v>
      </c>
    </row>
    <row r="27" ht="15" customHeight="1" s="39">
      <c r="A27" s="47" t="inlineStr">
        <is>
          <t>Engineering and research</t>
        </is>
      </c>
      <c r="B27" s="66" t="n">
        <v>1</v>
      </c>
      <c r="C27" s="66" t="n">
        <v>2</v>
      </c>
      <c r="D27" s="66" t="n">
        <v>2</v>
      </c>
      <c r="E27" s="66" t="n">
        <v>3</v>
      </c>
      <c r="F27" s="66" t="n">
        <v>4</v>
      </c>
    </row>
    <row r="28" ht="15" customHeight="1" s="39">
      <c r="A28" s="47" t="inlineStr">
        <is>
          <t>Customer success / deployment</t>
        </is>
      </c>
      <c r="B28" s="66" t="n">
        <v>0</v>
      </c>
      <c r="C28" s="66" t="n">
        <v>0</v>
      </c>
      <c r="D28" s="66" t="n">
        <v>1</v>
      </c>
      <c r="E28" s="66" t="n">
        <v>1</v>
      </c>
      <c r="F28" s="66" t="n">
        <v>2</v>
      </c>
    </row>
    <row r="29" ht="15" customHeight="1" s="39">
      <c r="A29" s="47" t="inlineStr">
        <is>
          <t>Account executives</t>
        </is>
      </c>
      <c r="B29" s="66" t="n">
        <v>0</v>
      </c>
      <c r="C29" s="66" t="n">
        <v>0</v>
      </c>
      <c r="D29" s="66" t="n">
        <v>0</v>
      </c>
      <c r="E29" s="66" t="n">
        <v>0</v>
      </c>
      <c r="F29" s="66" t="n">
        <v>1</v>
      </c>
    </row>
    <row r="30" ht="15" customHeight="1" s="39">
      <c r="A30" s="43" t="inlineStr">
        <is>
          <t>Total FTE</t>
        </is>
      </c>
      <c r="B30" s="67">
        <f>SUM(B25:B29)</f>
        <v/>
      </c>
      <c r="C30" s="67">
        <f>SUM(C25:C29)</f>
        <v/>
      </c>
      <c r="D30" s="67">
        <f>SUM(D25:D29)</f>
        <v/>
      </c>
      <c r="E30" s="67">
        <f>SUM(E25:E29)</f>
        <v/>
      </c>
      <c r="F30" s="67">
        <f>SUM(F25:F29)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F1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2" customWidth="1" style="38" min="2" max="6"/>
    <col width="60" customWidth="1" style="38" min="7" max="7"/>
  </cols>
  <sheetData>
    <row r="1" ht="17.35" customHeight="1" s="39">
      <c r="A1" s="40" t="inlineStr">
        <is>
          <t>Other expenses</t>
        </is>
      </c>
    </row>
    <row r="3" ht="15" customHeight="1" s="39">
      <c r="A3" s="41" t="inlineStr">
        <is>
          <t>€ thousands</t>
        </is>
      </c>
      <c r="B3" s="41" t="inlineStr">
        <is>
          <t>2027</t>
        </is>
      </c>
      <c r="C3" s="41" t="inlineStr">
        <is>
          <t>2028</t>
        </is>
      </c>
      <c r="D3" s="41" t="inlineStr">
        <is>
          <t>2029</t>
        </is>
      </c>
      <c r="E3" s="41" t="inlineStr">
        <is>
          <t>2030</t>
        </is>
      </c>
      <c r="F3" s="41" t="inlineStr">
        <is>
          <t>2031</t>
        </is>
      </c>
    </row>
    <row r="4" ht="15" customHeight="1" s="39">
      <c r="A4" s="81" t="inlineStr">
        <is>
          <t>Rent</t>
        </is>
      </c>
      <c r="B4" s="103" t="n">
        <v>4</v>
      </c>
      <c r="C4" s="103" t="n">
        <v>8</v>
      </c>
      <c r="D4" s="103" t="n">
        <v>16</v>
      </c>
      <c r="E4" s="103" t="n">
        <v>24</v>
      </c>
      <c r="F4" s="103" t="n">
        <v>30</v>
      </c>
    </row>
    <row r="5" ht="15" customHeight="1" s="39">
      <c r="A5" s="81" t="inlineStr">
        <is>
          <t>Software and internal IT (production hosting moved to cost of revenue)</t>
        </is>
      </c>
      <c r="B5" s="103" t="n">
        <v>6</v>
      </c>
      <c r="C5" s="103" t="n">
        <v>7</v>
      </c>
      <c r="D5" s="103" t="n">
        <v>8</v>
      </c>
      <c r="E5" s="103" t="n">
        <v>10</v>
      </c>
      <c r="F5" s="103" t="n">
        <v>12</v>
      </c>
    </row>
    <row r="6" ht="15" customHeight="1" s="39">
      <c r="A6" s="81" t="inlineStr">
        <is>
          <t>Lawyers (incorporation, IP licence, contracts, GDPR / AI Act, search-engine terms)</t>
        </is>
      </c>
      <c r="B6" s="103" t="n">
        <v>22</v>
      </c>
      <c r="C6" s="103" t="n">
        <v>12</v>
      </c>
      <c r="D6" s="103" t="n">
        <v>12</v>
      </c>
      <c r="E6" s="103" t="n">
        <v>14</v>
      </c>
      <c r="F6" s="103" t="n">
        <v>14</v>
      </c>
    </row>
    <row r="7" ht="15" customHeight="1" s="39">
      <c r="A7" s="81" t="inlineStr">
        <is>
          <t>Mobile phones</t>
        </is>
      </c>
      <c r="B7" s="103" t="n">
        <v>1</v>
      </c>
      <c r="C7" s="103" t="n">
        <v>2</v>
      </c>
      <c r="D7" s="103" t="n">
        <v>3</v>
      </c>
      <c r="E7" s="103" t="n">
        <v>4</v>
      </c>
      <c r="F7" s="103" t="n">
        <v>5</v>
      </c>
    </row>
    <row r="8" ht="15" customHeight="1" s="39">
      <c r="A8" s="81" t="inlineStr">
        <is>
          <t>Accounting &amp; gestoria</t>
        </is>
      </c>
      <c r="B8" s="103" t="n">
        <v>5</v>
      </c>
      <c r="C8" s="103" t="n">
        <v>6</v>
      </c>
      <c r="D8" s="103" t="n">
        <v>8</v>
      </c>
      <c r="E8" s="103" t="n">
        <v>9</v>
      </c>
      <c r="F8" s="103" t="n">
        <v>10</v>
      </c>
    </row>
    <row r="9" ht="15" customHeight="1" s="39">
      <c r="A9" s="81" t="inlineStr">
        <is>
          <t>Marketing &amp; travel (8% of revenue, €15–90k)</t>
        </is>
      </c>
      <c r="B9" s="103" t="n">
        <v>15</v>
      </c>
      <c r="C9" s="103" t="n">
        <v>20</v>
      </c>
      <c r="D9" s="103" t="n">
        <v>46</v>
      </c>
      <c r="E9" s="103" t="n">
        <v>76</v>
      </c>
      <c r="F9" s="103" t="n">
        <v>90</v>
      </c>
    </row>
    <row r="10" ht="15" customHeight="1" s="39">
      <c r="A10" s="81" t="inlineStr">
        <is>
          <t>Insurance &amp; others</t>
        </is>
      </c>
      <c r="B10" s="103" t="n">
        <v>3</v>
      </c>
      <c r="C10" s="103" t="n">
        <v>5</v>
      </c>
      <c r="D10" s="103" t="n">
        <v>7</v>
      </c>
      <c r="E10" s="103" t="n">
        <v>9</v>
      </c>
      <c r="F10" s="103" t="n">
        <v>10</v>
      </c>
    </row>
    <row r="11" ht="15" customHeight="1" s="39">
      <c r="A11" s="81" t="inlineStr">
        <is>
          <t>External support (security audit, ENS / ISO 27001, legal review)</t>
        </is>
      </c>
      <c r="B11" s="103" t="n">
        <v>5</v>
      </c>
      <c r="C11" s="103" t="n">
        <v>25</v>
      </c>
      <c r="D11" s="103" t="n">
        <v>30</v>
      </c>
      <c r="E11" s="103" t="n">
        <v>20</v>
      </c>
      <c r="F11" s="103" t="n">
        <v>20</v>
      </c>
    </row>
    <row r="12" ht="15" customHeight="1" s="39">
      <c r="A12" s="81" t="inlineStr">
        <is>
          <t>Subscriptions (data, associations)</t>
        </is>
      </c>
      <c r="B12" s="103" t="n">
        <v>3</v>
      </c>
      <c r="C12" s="103" t="n">
        <v>5</v>
      </c>
      <c r="D12" s="103" t="n">
        <v>7</v>
      </c>
      <c r="E12" s="103" t="n">
        <v>9</v>
      </c>
      <c r="F12" s="103" t="n">
        <v>10</v>
      </c>
    </row>
    <row r="13" ht="15" customHeight="1" s="39">
      <c r="A13" s="81" t="inlineStr">
        <is>
          <t>Sales commissions (S&amp;M)</t>
        </is>
      </c>
      <c r="B13" s="104">
        <f>ROUND('FINANCIAL MODEL'!B8*Assumptions!$B$28,0)</f>
        <v/>
      </c>
      <c r="C13" s="104">
        <f>ROUND('FINANCIAL MODEL'!C8*Assumptions!$B$28,0)</f>
        <v/>
      </c>
      <c r="D13" s="104">
        <f>ROUND('FINANCIAL MODEL'!D8*Assumptions!$B$28,0)</f>
        <v/>
      </c>
      <c r="E13" s="104">
        <f>ROUND('FINANCIAL MODEL'!E8*Assumptions!$B$28,0)</f>
        <v/>
      </c>
      <c r="F13" s="104">
        <f>ROUND('FINANCIAL MODEL'!F8*Assumptions!$B$28,0)</f>
        <v/>
      </c>
    </row>
    <row r="14">
      <c r="A14" s="105" t="inlineStr">
        <is>
          <t>TOTAL OTHER EXPENSES</t>
        </is>
      </c>
      <c r="B14" s="106">
        <f>SUM(B4:B13)</f>
        <v/>
      </c>
      <c r="C14" s="106">
        <f>SUM(C4:C13)</f>
        <v/>
      </c>
      <c r="D14" s="106">
        <f>SUM(D4:D13)</f>
        <v/>
      </c>
      <c r="E14" s="106">
        <f>SUM(E4:E13)</f>
        <v/>
      </c>
      <c r="F14" s="106">
        <f>SUM(F4:F13)</f>
        <v/>
      </c>
    </row>
    <row r="15">
      <c r="A15" s="85" t="n"/>
      <c r="B15" s="85" t="n"/>
      <c r="C15" s="85" t="n"/>
      <c r="D15" s="85" t="n"/>
      <c r="E15" s="85" t="n"/>
      <c r="F15" s="85" t="n"/>
    </row>
    <row r="16">
      <c r="A16" s="85" t="inlineStr">
        <is>
          <t>Production hosting, cloud GPU and database (in cost of revenue, not in the total above)</t>
        </is>
      </c>
      <c r="B16" s="107" t="n">
        <v>2</v>
      </c>
      <c r="C16" s="107" t="n">
        <v>15</v>
      </c>
      <c r="D16" s="107" t="n">
        <v>22</v>
      </c>
      <c r="E16" s="107" t="n">
        <v>28</v>
      </c>
      <c r="F16" s="107" t="n">
        <v>34</v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F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2" customWidth="1" style="38" min="2" max="6"/>
    <col width="60" customWidth="1" style="38" min="7" max="7"/>
  </cols>
  <sheetData>
    <row r="1" ht="17.35" customHeight="1" s="39">
      <c r="A1" s="40" t="inlineStr">
        <is>
          <t>R&amp;D (external)</t>
        </is>
      </c>
    </row>
    <row r="3" ht="15" customHeight="1" s="39">
      <c r="A3" s="41" t="inlineStr">
        <is>
          <t>€ thousands</t>
        </is>
      </c>
      <c r="B3" s="41" t="inlineStr">
        <is>
          <t>2027</t>
        </is>
      </c>
      <c r="C3" s="41" t="inlineStr">
        <is>
          <t>2028</t>
        </is>
      </c>
      <c r="D3" s="41" t="inlineStr">
        <is>
          <t>2029</t>
        </is>
      </c>
      <c r="E3" s="41" t="inlineStr">
        <is>
          <t>2030</t>
        </is>
      </c>
      <c r="F3" s="41" t="inlineStr">
        <is>
          <t>2031</t>
        </is>
      </c>
    </row>
    <row r="4" ht="15" customHeight="1" s="39">
      <c r="A4" s="47" t="inlineStr">
        <is>
          <t>Annotation, evaluation, audits</t>
        </is>
      </c>
      <c r="B4" s="48" t="n">
        <v>10</v>
      </c>
      <c r="C4" s="48" t="n">
        <v>25</v>
      </c>
      <c r="D4" s="48" t="n">
        <v>35</v>
      </c>
      <c r="E4" s="48" t="n">
        <v>40</v>
      </c>
      <c r="F4" s="48" t="n">
        <v>45</v>
      </c>
    </row>
    <row r="5" ht="15" customHeight="1" s="39">
      <c r="A5" s="53" t="inlineStr">
        <is>
          <t>TOTAL R&amp;D</t>
        </is>
      </c>
      <c r="B5" s="54">
        <f>B4</f>
        <v/>
      </c>
      <c r="C5" s="54">
        <f>C4</f>
        <v/>
      </c>
      <c r="D5" s="54">
        <f>D4</f>
        <v/>
      </c>
      <c r="E5" s="54">
        <f>E4</f>
        <v/>
      </c>
      <c r="F5" s="54">
        <f>F4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F1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2" customWidth="1" style="38" min="2" max="6"/>
    <col width="60" customWidth="1" style="38" min="7" max="7"/>
  </cols>
  <sheetData>
    <row r="1" ht="17.35" customHeight="1" s="39">
      <c r="A1" s="40" t="inlineStr">
        <is>
          <t>Investment and amortization</t>
        </is>
      </c>
    </row>
    <row r="3" ht="15" customHeight="1" s="39">
      <c r="A3" s="41" t="inlineStr">
        <is>
          <t>€ thousands</t>
        </is>
      </c>
      <c r="B3" s="41" t="inlineStr">
        <is>
          <t>2027</t>
        </is>
      </c>
      <c r="C3" s="41" t="inlineStr">
        <is>
          <t>2028</t>
        </is>
      </c>
      <c r="D3" s="41" t="inlineStr">
        <is>
          <t>2029</t>
        </is>
      </c>
      <c r="E3" s="41" t="inlineStr">
        <is>
          <t>2030</t>
        </is>
      </c>
      <c r="F3" s="41" t="inlineStr">
        <is>
          <t>2031</t>
        </is>
      </c>
    </row>
    <row r="4" ht="15" customHeight="1" s="39">
      <c r="A4" s="47" t="inlineStr">
        <is>
          <t>Reference appliance for public-integrity pilots (L40S server)</t>
        </is>
      </c>
      <c r="B4" s="48" t="n">
        <v>0</v>
      </c>
      <c r="C4" s="48" t="n">
        <v>17</v>
      </c>
      <c r="D4" s="48" t="n">
        <v>0</v>
      </c>
      <c r="E4" s="48" t="n">
        <v>17</v>
      </c>
      <c r="F4" s="48" t="n">
        <v>0</v>
      </c>
    </row>
    <row r="5" ht="15" customHeight="1" s="39">
      <c r="A5" s="47" t="inlineStr">
        <is>
          <t>Laptops and equipment</t>
        </is>
      </c>
      <c r="B5" s="48" t="n">
        <v>8</v>
      </c>
      <c r="C5" s="48" t="n">
        <v>3</v>
      </c>
      <c r="D5" s="48" t="n">
        <v>5</v>
      </c>
      <c r="E5" s="48" t="n">
        <v>5</v>
      </c>
      <c r="F5" s="48" t="n">
        <v>6</v>
      </c>
    </row>
    <row r="6" ht="15" customHeight="1" s="39">
      <c r="A6" s="47" t="inlineStr">
        <is>
          <t>Office fit-out</t>
        </is>
      </c>
      <c r="B6" s="48" t="n">
        <v>0</v>
      </c>
      <c r="C6" s="48" t="n">
        <v>0</v>
      </c>
      <c r="D6" s="48" t="n">
        <v>6</v>
      </c>
      <c r="E6" s="48" t="n">
        <v>0</v>
      </c>
      <c r="F6" s="48" t="n">
        <v>0</v>
      </c>
    </row>
    <row r="7" ht="15" customHeight="1" s="39">
      <c r="A7" s="53" t="inlineStr">
        <is>
          <t>TOTAL INVESTMENT</t>
        </is>
      </c>
      <c r="B7" s="54">
        <f>SUM(B4:B6)</f>
        <v/>
      </c>
      <c r="C7" s="54">
        <f>SUM(C4:C6)</f>
        <v/>
      </c>
      <c r="D7" s="54">
        <f>SUM(D4:D6)</f>
        <v/>
      </c>
      <c r="E7" s="54">
        <f>SUM(E4:E6)</f>
        <v/>
      </c>
      <c r="F7" s="54">
        <f>SUM(F4:F6)</f>
        <v/>
      </c>
    </row>
    <row r="9" ht="15" customHeight="1" s="39">
      <c r="A9" s="47" t="inlineStr">
        <is>
          <t>Amortization</t>
        </is>
      </c>
      <c r="B9" s="63">
        <f>ROUND(SUM(B7:B7)/Assumptions!$B$22,0)</f>
        <v/>
      </c>
      <c r="C9" s="63">
        <f>ROUND(SUM(B7:C7)/Assumptions!$B$22,0)</f>
        <v/>
      </c>
      <c r="D9" s="63">
        <f>ROUND(SUM(B7:D7)/Assumptions!$B$22,0)</f>
        <v/>
      </c>
      <c r="E9" s="63">
        <f>ROUND(SUM(B7:E7)/Assumptions!$B$22,0)</f>
        <v/>
      </c>
      <c r="F9" s="63">
        <f>ROUND(SUM(C7:F7)/Assumptions!$B$22,0)</f>
        <v/>
      </c>
    </row>
    <row r="10" ht="15" customHeight="1" s="39">
      <c r="A10" s="47" t="inlineStr">
        <is>
          <t>Cumulative investment</t>
        </is>
      </c>
      <c r="B10" s="63">
        <f>B7</f>
        <v/>
      </c>
      <c r="C10" s="63">
        <f>B10+C7</f>
        <v/>
      </c>
      <c r="D10" s="63">
        <f>C10+D7</f>
        <v/>
      </c>
      <c r="E10" s="63">
        <f>D10+E7</f>
        <v/>
      </c>
      <c r="F10" s="63">
        <f>E10+F7</f>
        <v/>
      </c>
    </row>
    <row r="11" ht="15" customHeight="1" s="39">
      <c r="A11" s="47" t="inlineStr">
        <is>
          <t>Cumulative amortization</t>
        </is>
      </c>
      <c r="B11" s="63">
        <f>B9</f>
        <v/>
      </c>
      <c r="C11" s="63">
        <f>B11+C9</f>
        <v/>
      </c>
      <c r="D11" s="63">
        <f>C11+D9</f>
        <v/>
      </c>
      <c r="E11" s="63">
        <f>D11+E9</f>
        <v/>
      </c>
      <c r="F11" s="63">
        <f>E11+F9</f>
        <v/>
      </c>
    </row>
    <row r="12" ht="15" customHeight="1" s="39">
      <c r="A12" s="43" t="inlineStr">
        <is>
          <t>NET FIXED ASSETS</t>
        </is>
      </c>
      <c r="B12" s="64">
        <f>B10-B11</f>
        <v/>
      </c>
      <c r="C12" s="64">
        <f>C10-C11</f>
        <v/>
      </c>
      <c r="D12" s="64">
        <f>D10-D11</f>
        <v/>
      </c>
      <c r="E12" s="64">
        <f>E10-E11</f>
        <v/>
      </c>
      <c r="F12" s="64">
        <f>F10-F11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G1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2" customWidth="1" style="38" min="2" max="6"/>
    <col width="60" customWidth="1" style="38" min="7" max="7"/>
  </cols>
  <sheetData>
    <row r="1" ht="17.35" customHeight="1" s="39">
      <c r="A1" s="40" t="inlineStr">
        <is>
          <t>Financing: staged equity, loans and grants</t>
        </is>
      </c>
    </row>
    <row r="3" ht="15" customHeight="1" s="39">
      <c r="A3" s="41" t="inlineStr">
        <is>
          <t>€ thousands</t>
        </is>
      </c>
      <c r="B3" s="41" t="inlineStr">
        <is>
          <t>2027</t>
        </is>
      </c>
      <c r="C3" s="41" t="inlineStr">
        <is>
          <t>2028</t>
        </is>
      </c>
      <c r="D3" s="41" t="inlineStr">
        <is>
          <t>2029</t>
        </is>
      </c>
      <c r="E3" s="41" t="inlineStr">
        <is>
          <t>2030</t>
        </is>
      </c>
      <c r="F3" s="41" t="inlineStr">
        <is>
          <t>2031</t>
        </is>
      </c>
    </row>
    <row r="4" ht="15" customHeight="1" s="39">
      <c r="A4" s="47" t="inlineStr">
        <is>
          <t>Founders</t>
        </is>
      </c>
      <c r="B4" s="48" t="n">
        <v>10</v>
      </c>
      <c r="C4" s="48" t="n">
        <v>0</v>
      </c>
      <c r="D4" s="48" t="n">
        <v>0</v>
      </c>
      <c r="E4" s="48" t="n">
        <v>0</v>
      </c>
      <c r="F4" s="48" t="n">
        <v>0</v>
      </c>
    </row>
    <row r="5" ht="15" customHeight="1" s="39">
      <c r="A5" s="47" t="inlineStr">
        <is>
          <t>Pre-seed (convertible / participative loan, 2027)</t>
        </is>
      </c>
      <c r="B5" s="48" t="n">
        <v>300</v>
      </c>
      <c r="C5" s="48" t="n">
        <v>0</v>
      </c>
      <c r="D5" s="48" t="n">
        <v>0</v>
      </c>
      <c r="E5" s="48" t="n">
        <v>0</v>
      </c>
      <c r="F5" s="48" t="n">
        <v>0</v>
      </c>
      <c r="G5" s="45" t="inlineStr">
        <is>
          <t>€2.0–2.5M cap (indicative); aligned angels, information rights only</t>
        </is>
      </c>
    </row>
    <row r="6" ht="15" customHeight="1" s="39">
      <c r="A6" s="47" t="inlineStr">
        <is>
          <t>Optional later round (not planned)</t>
        </is>
      </c>
      <c r="B6" s="48" t="n">
        <v>0</v>
      </c>
      <c r="C6" s="48" t="n">
        <v>0</v>
      </c>
      <c r="D6" s="48" t="n">
        <v>0</v>
      </c>
      <c r="E6" s="48" t="n">
        <v>0</v>
      </c>
      <c r="F6" s="48" t="n">
        <v>0</v>
      </c>
      <c r="G6" s="45" t="inlineStr">
        <is>
          <t>Only from strength (e.g. &gt;€600k ARR), to grow faster</t>
        </is>
      </c>
    </row>
    <row r="7" ht="15" customHeight="1" s="39">
      <c r="A7" s="43" t="inlineStr">
        <is>
          <t>INCREASING CAPITAL</t>
        </is>
      </c>
      <c r="B7" s="64">
        <f>SUM(B4:B6)</f>
        <v/>
      </c>
      <c r="C7" s="64">
        <f>SUM(C4:C6)</f>
        <v/>
      </c>
      <c r="D7" s="64">
        <f>SUM(D4:D6)</f>
        <v/>
      </c>
      <c r="E7" s="64">
        <f>SUM(E4:E6)</f>
        <v/>
      </c>
      <c r="F7" s="64">
        <f>SUM(F4:F6)</f>
        <v/>
      </c>
    </row>
    <row r="8" ht="15" customHeight="1" s="39">
      <c r="A8" s="53" t="inlineStr">
        <is>
          <t>TOTAL CAPITAL (cumulative)</t>
        </is>
      </c>
      <c r="B8" s="54">
        <f>B7</f>
        <v/>
      </c>
      <c r="C8" s="54">
        <f>B8+C7</f>
        <v/>
      </c>
      <c r="D8" s="54">
        <f>C8+D7</f>
        <v/>
      </c>
      <c r="E8" s="54">
        <f>D8+E7</f>
        <v/>
      </c>
      <c r="F8" s="54">
        <f>E8+F7</f>
        <v/>
      </c>
    </row>
    <row r="10" ht="15" customHeight="1" s="39">
      <c r="A10" s="47" t="inlineStr">
        <is>
          <t>ENISA loans drawn (€75k 2027; €100k 2028)</t>
        </is>
      </c>
      <c r="B10" s="48" t="n">
        <v>75</v>
      </c>
      <c r="C10" s="48" t="n">
        <v>100</v>
      </c>
      <c r="D10" s="48" t="n">
        <v>0</v>
      </c>
      <c r="E10" s="48" t="n">
        <v>0</v>
      </c>
      <c r="F10" s="48" t="n">
        <v>0</v>
      </c>
    </row>
    <row r="11" ht="15" customHeight="1" s="39">
      <c r="A11" s="47" t="inlineStr">
        <is>
          <t>ENISA repaid</t>
        </is>
      </c>
      <c r="B11" s="48" t="n">
        <v>0</v>
      </c>
      <c r="C11" s="48" t="n">
        <v>0</v>
      </c>
      <c r="D11" s="48" t="n">
        <v>0</v>
      </c>
      <c r="E11" s="48" t="n">
        <v>25</v>
      </c>
      <c r="F11" s="48" t="n">
        <v>25</v>
      </c>
    </row>
    <row r="12" ht="15" customHeight="1" s="39">
      <c r="A12" s="43" t="inlineStr">
        <is>
          <t>PENDING DEBT</t>
        </is>
      </c>
      <c r="B12" s="64">
        <f>B10-B11</f>
        <v/>
      </c>
      <c r="C12" s="64">
        <f>B12+C10-C11</f>
        <v/>
      </c>
      <c r="D12" s="64">
        <f>C12+D10-D11</f>
        <v/>
      </c>
      <c r="E12" s="64">
        <f>D12+E10-E11</f>
        <v/>
      </c>
      <c r="F12" s="64">
        <f>E12+F10-F11</f>
        <v/>
      </c>
    </row>
    <row r="13" ht="15" customHeight="1" s="39">
      <c r="A13" s="47" t="inlineStr">
        <is>
          <t>Interest</t>
        </is>
      </c>
      <c r="B13" s="63">
        <f>ROUND(Assumptions!$B$21*(B12)/2,0)</f>
        <v/>
      </c>
      <c r="C13" s="63">
        <f>ROUND(Assumptions!$B$21*(B12+C12)/2,0)</f>
        <v/>
      </c>
      <c r="D13" s="63">
        <f>ROUND(Assumptions!$B$21*(C12+D12)/2,0)</f>
        <v/>
      </c>
      <c r="E13" s="63">
        <f>ROUND(Assumptions!$B$21*(D12+E12)/2,0)</f>
        <v/>
      </c>
      <c r="F13" s="63">
        <f>ROUND(Assumptions!$B$21*(E12+F12)/2,0)</f>
        <v/>
      </c>
    </row>
    <row r="15" ht="15" customHeight="1" s="39">
      <c r="A15" s="47" t="inlineStr">
        <is>
          <t>Grants — income (ACCIÓ ≈€90k 2027–28; NEOTEC €220k 2028–29)</t>
        </is>
      </c>
      <c r="B15" s="48" t="n">
        <v>45</v>
      </c>
      <c r="C15" s="48" t="n">
        <v>155</v>
      </c>
      <c r="D15" s="48" t="n">
        <v>110</v>
      </c>
      <c r="E15" s="48" t="n">
        <v>0</v>
      </c>
      <c r="F15" s="48" t="n">
        <v>0</v>
      </c>
    </row>
    <row r="16" ht="15" customHeight="1" s="39">
      <c r="A16" s="47" t="inlineStr">
        <is>
          <t>Grants — cash</t>
        </is>
      </c>
      <c r="B16" s="48" t="n">
        <v>45</v>
      </c>
      <c r="C16" s="48" t="n">
        <v>155</v>
      </c>
      <c r="D16" s="48" t="n">
        <v>0</v>
      </c>
      <c r="E16" s="48" t="n">
        <v>110</v>
      </c>
      <c r="F16" s="48" t="n">
        <v>0</v>
      </c>
    </row>
    <row r="17" ht="15" customHeight="1" s="39">
      <c r="A17" s="47" t="inlineStr">
        <is>
          <t>Grants receivable</t>
        </is>
      </c>
      <c r="B17" s="63">
        <f>B15-B16</f>
        <v/>
      </c>
      <c r="C17" s="63">
        <f>B17+C15-C16</f>
        <v/>
      </c>
      <c r="D17" s="63">
        <f>C17+D15-D16</f>
        <v/>
      </c>
      <c r="E17" s="63">
        <f>D17+E15-E16</f>
        <v/>
      </c>
      <c r="F17" s="63">
        <f>E17+F15-F16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A1:F8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2" customWidth="1" style="38" min="2" max="6"/>
    <col width="60" customWidth="1" style="38" min="7" max="7"/>
  </cols>
  <sheetData>
    <row r="1" ht="17.35" customHeight="1" s="39">
      <c r="A1" s="40" t="inlineStr">
        <is>
          <t>P&amp;L, balance sheet, cash flow and VAN</t>
        </is>
      </c>
    </row>
    <row r="3" ht="15" customHeight="1" s="39">
      <c r="A3" s="41" t="inlineStr">
        <is>
          <t>PROFIT / LOSS (€k)</t>
        </is>
      </c>
      <c r="B3" s="41" t="inlineStr">
        <is>
          <t>2027</t>
        </is>
      </c>
      <c r="C3" s="41" t="inlineStr">
        <is>
          <t>2028</t>
        </is>
      </c>
      <c r="D3" s="41" t="inlineStr">
        <is>
          <t>2029</t>
        </is>
      </c>
      <c r="E3" s="41" t="inlineStr">
        <is>
          <t>2030</t>
        </is>
      </c>
      <c r="F3" s="41" t="inlineStr">
        <is>
          <t>2031</t>
        </is>
      </c>
    </row>
    <row r="4" ht="15" customHeight="1" s="39">
      <c r="A4" s="47" t="inlineStr">
        <is>
          <t>Newsrooms</t>
        </is>
      </c>
      <c r="B4" s="61">
        <f>Sales!B9</f>
        <v/>
      </c>
      <c r="C4" s="61">
        <f>Sales!C9</f>
        <v/>
      </c>
      <c r="D4" s="61">
        <f>Sales!D9</f>
        <v/>
      </c>
      <c r="E4" s="61">
        <f>Sales!E9</f>
        <v/>
      </c>
      <c r="F4" s="61">
        <f>Sales!F9</f>
        <v/>
      </c>
    </row>
    <row r="5" ht="15" customHeight="1" s="39">
      <c r="A5" s="47" t="inlineStr">
        <is>
          <t>PR &amp; communications</t>
        </is>
      </c>
      <c r="B5" s="61">
        <f>Sales!B13</f>
        <v/>
      </c>
      <c r="C5" s="61">
        <f>Sales!C13</f>
        <v/>
      </c>
      <c r="D5" s="61">
        <f>Sales!D13</f>
        <v/>
      </c>
      <c r="E5" s="61">
        <f>Sales!E13</f>
        <v/>
      </c>
      <c r="F5" s="61">
        <f>Sales!F13</f>
        <v/>
      </c>
    </row>
    <row r="6" ht="15" customHeight="1" s="39">
      <c r="A6" s="47" t="inlineStr">
        <is>
          <t>Public-integrity / OSINT</t>
        </is>
      </c>
      <c r="B6" s="61">
        <f>Sales!B20</f>
        <v/>
      </c>
      <c r="C6" s="61">
        <f>Sales!C20</f>
        <v/>
      </c>
      <c r="D6" s="61">
        <f>Sales!D20</f>
        <v/>
      </c>
      <c r="E6" s="61">
        <f>Sales!E20</f>
        <v/>
      </c>
      <c r="F6" s="61">
        <f>Sales!F20</f>
        <v/>
      </c>
    </row>
    <row r="7" ht="15" customHeight="1" s="39">
      <c r="A7" s="47" t="inlineStr">
        <is>
          <t>API and paid pilots</t>
        </is>
      </c>
      <c r="B7" s="61">
        <f>Sales!B22+Sales!B23</f>
        <v/>
      </c>
      <c r="C7" s="61">
        <f>Sales!C22+Sales!C23</f>
        <v/>
      </c>
      <c r="D7" s="61">
        <f>Sales!D22+Sales!D23</f>
        <v/>
      </c>
      <c r="E7" s="61">
        <f>Sales!E22+Sales!E23</f>
        <v/>
      </c>
      <c r="F7" s="61">
        <f>Sales!F22+Sales!F23</f>
        <v/>
      </c>
    </row>
    <row r="8" ht="15" customHeight="1" s="39">
      <c r="A8" s="53" t="inlineStr">
        <is>
          <t>TOTAL SALES</t>
        </is>
      </c>
      <c r="B8" s="54">
        <f>SUM(B4:B7)</f>
        <v/>
      </c>
      <c r="C8" s="54">
        <f>SUM(C4:C7)</f>
        <v/>
      </c>
      <c r="D8" s="54">
        <f>SUM(D4:D7)</f>
        <v/>
      </c>
      <c r="E8" s="54">
        <f>SUM(E4:E7)</f>
        <v/>
      </c>
      <c r="F8" s="54">
        <f>SUM(F4:F7)</f>
        <v/>
      </c>
    </row>
    <row r="9" ht="15" customHeight="1" s="39">
      <c r="A9" s="47" t="inlineStr">
        <is>
          <t>Royalty UAB/CVC</t>
        </is>
      </c>
      <c r="B9" s="63">
        <f>-ROUND(B8*Assumptions!$B$12,0)</f>
        <v/>
      </c>
      <c r="C9" s="63">
        <f>-ROUND(C8*Assumptions!$B$12,0)</f>
        <v/>
      </c>
      <c r="D9" s="63">
        <f>-ROUND(D8*Assumptions!$B$12,0)</f>
        <v/>
      </c>
      <c r="E9" s="63">
        <f>-ROUND(E8*Assumptions!$B$12,0)</f>
        <v/>
      </c>
      <c r="F9" s="63">
        <f>-ROUND(F8*Assumptions!$B$12,0)</f>
        <v/>
      </c>
    </row>
    <row r="10" ht="15" customHeight="1" s="39">
      <c r="A10" s="81" t="inlineStr">
        <is>
          <t>Cost of revenue: usage by line + production hosting + customer success</t>
        </is>
      </c>
      <c r="B10" s="63">
        <f>-(ROUND(B4*Assumptions!$B$13,0)+ROUND(B5*Assumptions!$B$14,0)+ROUND(B6*Assumptions!$B$15,0)+ROUND(B7*Assumptions!$B$16,0)+'Other expenses'!B16+'Staff expenses'!B17)</f>
        <v/>
      </c>
      <c r="C10" s="63">
        <f>-(ROUND(C4*Assumptions!$B$13,0)+ROUND(C5*Assumptions!$B$14,0)+ROUND(C6*Assumptions!$B$15,0)+ROUND(C7*Assumptions!$B$16,0)+'Other expenses'!C16+'Staff expenses'!C17)</f>
        <v/>
      </c>
      <c r="D10" s="63">
        <f>-(ROUND(D4*Assumptions!$B$13,0)+ROUND(D5*Assumptions!$B$14,0)+ROUND(D6*Assumptions!$B$15,0)+ROUND(D7*Assumptions!$B$16,0)+'Other expenses'!D16+'Staff expenses'!D17)</f>
        <v/>
      </c>
      <c r="E10" s="63">
        <f>-(ROUND(E4*Assumptions!$B$13,0)+ROUND(E5*Assumptions!$B$14,0)+ROUND(E6*Assumptions!$B$15,0)+ROUND(E7*Assumptions!$B$16,0)+'Other expenses'!E16+'Staff expenses'!E17)</f>
        <v/>
      </c>
      <c r="F10" s="63">
        <f>-(ROUND(F4*Assumptions!$B$13,0)+ROUND(F5*Assumptions!$B$14,0)+ROUND(F6*Assumptions!$B$15,0)+ROUND(F7*Assumptions!$B$16,0)+'Other expenses'!F16+'Staff expenses'!F17)</f>
        <v/>
      </c>
    </row>
    <row r="11" ht="15" customHeight="1" s="39">
      <c r="A11" s="81" t="inlineStr">
        <is>
          <t>Payment fees</t>
        </is>
      </c>
      <c r="B11" s="63">
        <f>-ROUND(B8*Assumptions!$B$17,0)</f>
        <v/>
      </c>
      <c r="C11" s="63">
        <f>-ROUND(C8*Assumptions!$B$17,0)</f>
        <v/>
      </c>
      <c r="D11" s="63">
        <f>-ROUND(D8*Assumptions!$B$17,0)</f>
        <v/>
      </c>
      <c r="E11" s="63">
        <f>-ROUND(E8*Assumptions!$B$17,0)</f>
        <v/>
      </c>
      <c r="F11" s="63">
        <f>-ROUND(F8*Assumptions!$B$17,0)</f>
        <v/>
      </c>
    </row>
    <row r="12" ht="15" customHeight="1" s="39">
      <c r="A12" s="108" t="inlineStr">
        <is>
          <t>TOTAL COST OF REVENUE</t>
        </is>
      </c>
      <c r="B12" s="64">
        <f>SUM(B9:B11)</f>
        <v/>
      </c>
      <c r="C12" s="64">
        <f>SUM(C9:C11)</f>
        <v/>
      </c>
      <c r="D12" s="64">
        <f>SUM(D9:D11)</f>
        <v/>
      </c>
      <c r="E12" s="64">
        <f>SUM(E9:E11)</f>
        <v/>
      </c>
      <c r="F12" s="64">
        <f>SUM(F9:F11)</f>
        <v/>
      </c>
    </row>
    <row r="13" ht="15" customHeight="1" s="39">
      <c r="A13" s="53" t="inlineStr">
        <is>
          <t>GROSS MARGIN</t>
        </is>
      </c>
      <c r="B13" s="54">
        <f>B8+B12</f>
        <v/>
      </c>
      <c r="C13" s="54">
        <f>C8+C12</f>
        <v/>
      </c>
      <c r="D13" s="54">
        <f>D8+D12</f>
        <v/>
      </c>
      <c r="E13" s="54">
        <f>E8+E12</f>
        <v/>
      </c>
      <c r="F13" s="54">
        <f>F8+F12</f>
        <v/>
      </c>
    </row>
    <row r="14" ht="15" customHeight="1" s="39">
      <c r="A14" s="47" t="inlineStr">
        <is>
          <t>Grant income</t>
        </is>
      </c>
      <c r="B14" s="61">
        <f>Financing!B15</f>
        <v/>
      </c>
      <c r="C14" s="61">
        <f>Financing!C15</f>
        <v/>
      </c>
      <c r="D14" s="61">
        <f>Financing!D15</f>
        <v/>
      </c>
      <c r="E14" s="61">
        <f>Financing!E15</f>
        <v/>
      </c>
      <c r="F14" s="61">
        <f>Financing!F15</f>
        <v/>
      </c>
    </row>
    <row r="15" ht="15" customHeight="1" s="39">
      <c r="A15" s="47" t="inlineStr">
        <is>
          <t>R&amp;D</t>
        </is>
      </c>
      <c r="B15" s="61">
        <f>-'I+D expenses'!B5</f>
        <v/>
      </c>
      <c r="C15" s="61">
        <f>-'I+D expenses'!C5</f>
        <v/>
      </c>
      <c r="D15" s="61">
        <f>-'I+D expenses'!D5</f>
        <v/>
      </c>
      <c r="E15" s="61">
        <f>-'I+D expenses'!E5</f>
        <v/>
      </c>
      <c r="F15" s="61">
        <f>-'I+D expenses'!F5</f>
        <v/>
      </c>
    </row>
    <row r="16" ht="15" customHeight="1" s="39">
      <c r="A16" s="81" t="inlineStr">
        <is>
          <t>Staff (excl. customer success, in cost of revenue)</t>
        </is>
      </c>
      <c r="B16" s="61">
        <f>-('Staff expenses'!B22-'Staff expenses'!B17)</f>
        <v/>
      </c>
      <c r="C16" s="61">
        <f>-('Staff expenses'!C22-'Staff expenses'!C17)</f>
        <v/>
      </c>
      <c r="D16" s="61">
        <f>-('Staff expenses'!D22-'Staff expenses'!D17)</f>
        <v/>
      </c>
      <c r="E16" s="61">
        <f>-('Staff expenses'!E22-'Staff expenses'!E17)</f>
        <v/>
      </c>
      <c r="F16" s="61">
        <f>-('Staff expenses'!F22-'Staff expenses'!F17)</f>
        <v/>
      </c>
    </row>
    <row r="17" ht="15" customHeight="1" s="39">
      <c r="A17" s="47" t="inlineStr">
        <is>
          <t>Other expenses</t>
        </is>
      </c>
      <c r="B17" s="61">
        <f>-'Other expenses'!B14</f>
        <v/>
      </c>
      <c r="C17" s="61">
        <f>-'Other expenses'!C14</f>
        <v/>
      </c>
      <c r="D17" s="61">
        <f>-'Other expenses'!D14</f>
        <v/>
      </c>
      <c r="E17" s="61">
        <f>-'Other expenses'!E14</f>
        <v/>
      </c>
      <c r="F17" s="61">
        <f>-'Other expenses'!F14</f>
        <v/>
      </c>
    </row>
    <row r="18" ht="15" customHeight="1" s="39">
      <c r="A18" s="53" t="inlineStr">
        <is>
          <t>EBITDA</t>
        </is>
      </c>
      <c r="B18" s="54">
        <f>B13+SUM(B14:B17)</f>
        <v/>
      </c>
      <c r="C18" s="54">
        <f>C13+SUM(C14:C17)</f>
        <v/>
      </c>
      <c r="D18" s="54">
        <f>D13+SUM(D14:D17)</f>
        <v/>
      </c>
      <c r="E18" s="54">
        <f>E13+SUM(E14:E17)</f>
        <v/>
      </c>
      <c r="F18" s="54">
        <f>F13+SUM(F14:F17)</f>
        <v/>
      </c>
    </row>
    <row r="19" ht="15" customHeight="1" s="39">
      <c r="A19" s="47" t="inlineStr">
        <is>
          <t>Ammortization</t>
        </is>
      </c>
      <c r="B19" s="61">
        <f>-Ammortization!B9</f>
        <v/>
      </c>
      <c r="C19" s="61">
        <f>-Ammortization!C9</f>
        <v/>
      </c>
      <c r="D19" s="61">
        <f>-Ammortization!D9</f>
        <v/>
      </c>
      <c r="E19" s="61">
        <f>-Ammortization!E9</f>
        <v/>
      </c>
      <c r="F19" s="61">
        <f>-Ammortization!F9</f>
        <v/>
      </c>
    </row>
    <row r="20" ht="15" customHeight="1" s="39">
      <c r="A20" s="43" t="inlineStr">
        <is>
          <t>EBIT</t>
        </is>
      </c>
      <c r="B20" s="64">
        <f>B18+B19</f>
        <v/>
      </c>
      <c r="C20" s="64">
        <f>C18+C19</f>
        <v/>
      </c>
      <c r="D20" s="64">
        <f>D18+D19</f>
        <v/>
      </c>
      <c r="E20" s="64">
        <f>E18+E19</f>
        <v/>
      </c>
      <c r="F20" s="64">
        <f>F18+F19</f>
        <v/>
      </c>
    </row>
    <row r="21" ht="15" customHeight="1" s="39">
      <c r="A21" s="47" t="inlineStr">
        <is>
          <t>Interests</t>
        </is>
      </c>
      <c r="B21" s="61">
        <f>-Financing!B13</f>
        <v/>
      </c>
      <c r="C21" s="61">
        <f>-Financing!C13</f>
        <v/>
      </c>
      <c r="D21" s="61">
        <f>-Financing!D13</f>
        <v/>
      </c>
      <c r="E21" s="61">
        <f>-Financing!E13</f>
        <v/>
      </c>
      <c r="F21" s="61">
        <f>-Financing!F13</f>
        <v/>
      </c>
    </row>
    <row r="22" ht="15" customHeight="1" s="39">
      <c r="A22" s="43" t="inlineStr">
        <is>
          <t>EBT</t>
        </is>
      </c>
      <c r="B22" s="64">
        <f>B20+B21</f>
        <v/>
      </c>
      <c r="C22" s="64">
        <f>C20+C21</f>
        <v/>
      </c>
      <c r="D22" s="64">
        <f>D20+D21</f>
        <v/>
      </c>
      <c r="E22" s="64">
        <f>E20+E21</f>
        <v/>
      </c>
      <c r="F22" s="64">
        <f>F20+F21</f>
        <v/>
      </c>
    </row>
    <row r="23" ht="15" customHeight="1" s="39">
      <c r="A23" s="47" t="inlineStr">
        <is>
          <t>INCOME TAX</t>
        </is>
      </c>
      <c r="B23" s="63">
        <f>-B82</f>
        <v/>
      </c>
      <c r="C23" s="63">
        <f>-C82</f>
        <v/>
      </c>
      <c r="D23" s="63">
        <f>-D82</f>
        <v/>
      </c>
      <c r="E23" s="63">
        <f>-E82</f>
        <v/>
      </c>
      <c r="F23" s="63">
        <f>-F82</f>
        <v/>
      </c>
    </row>
    <row r="24" ht="15" customHeight="1" s="39">
      <c r="A24" s="53" t="inlineStr">
        <is>
          <t>NET PROFIT</t>
        </is>
      </c>
      <c r="B24" s="54">
        <f>B22+B23</f>
        <v/>
      </c>
      <c r="C24" s="54">
        <f>C22+C23</f>
        <v/>
      </c>
      <c r="D24" s="54">
        <f>D22+D23</f>
        <v/>
      </c>
      <c r="E24" s="54">
        <f>E22+E23</f>
        <v/>
      </c>
      <c r="F24" s="54">
        <f>F22+F23</f>
        <v/>
      </c>
    </row>
    <row r="25" ht="15" customHeight="1" s="39">
      <c r="A25" s="47" t="inlineStr">
        <is>
          <t>Gross margin %</t>
        </is>
      </c>
      <c r="B25" s="68">
        <f>IF(B8=0,0,B13/B8)</f>
        <v/>
      </c>
      <c r="C25" s="68">
        <f>IF(C8=0,0,C13/C8)</f>
        <v/>
      </c>
      <c r="D25" s="68">
        <f>IF(D8=0,0,D13/D8)</f>
        <v/>
      </c>
      <c r="E25" s="68">
        <f>IF(E8=0,0,E13/E8)</f>
        <v/>
      </c>
      <c r="F25" s="68">
        <f>IF(F8=0,0,F13/F8)</f>
        <v/>
      </c>
    </row>
    <row r="26" ht="15" customHeight="1" s="39">
      <c r="A26" s="47" t="inlineStr">
        <is>
          <t>EBITDA %</t>
        </is>
      </c>
      <c r="B26" s="68">
        <f>IF(B8=0,0,B18/B8)</f>
        <v/>
      </c>
      <c r="C26" s="68">
        <f>IF(C8=0,0,C18/C8)</f>
        <v/>
      </c>
      <c r="D26" s="68">
        <f>IF(D8=0,0,D18/D8)</f>
        <v/>
      </c>
      <c r="E26" s="68">
        <f>IF(E8=0,0,E18/E8)</f>
        <v/>
      </c>
      <c r="F26" s="68">
        <f>IF(F8=0,0,F18/F8)</f>
        <v/>
      </c>
    </row>
    <row r="28" ht="15" customHeight="1" s="39">
      <c r="A28" s="41" t="inlineStr">
        <is>
          <t>BALANCE SHEET (€k)</t>
        </is>
      </c>
      <c r="B28" s="41" t="inlineStr">
        <is>
          <t>2027</t>
        </is>
      </c>
      <c r="C28" s="41" t="inlineStr">
        <is>
          <t>2028</t>
        </is>
      </c>
      <c r="D28" s="41" t="inlineStr">
        <is>
          <t>2029</t>
        </is>
      </c>
      <c r="E28" s="41" t="inlineStr">
        <is>
          <t>2030</t>
        </is>
      </c>
      <c r="F28" s="41" t="inlineStr">
        <is>
          <t>2031</t>
        </is>
      </c>
    </row>
    <row r="30" ht="15" customHeight="1" s="39">
      <c r="A30" s="47" t="inlineStr">
        <is>
          <t>FIXED ASSETS</t>
        </is>
      </c>
      <c r="B30" s="61">
        <f>Ammortization!B12</f>
        <v/>
      </c>
      <c r="C30" s="61">
        <f>Ammortization!C12</f>
        <v/>
      </c>
      <c r="D30" s="61">
        <f>Ammortization!D12</f>
        <v/>
      </c>
      <c r="E30" s="61">
        <f>Ammortization!E12</f>
        <v/>
      </c>
      <c r="F30" s="61">
        <f>Ammortization!F12</f>
        <v/>
      </c>
    </row>
    <row r="31" ht="15" customHeight="1" s="39">
      <c r="A31" s="47" t="inlineStr">
        <is>
          <t>CLIENTS</t>
        </is>
      </c>
      <c r="B31" s="63">
        <f>ROUND((B4+B5+B6)*Assumptions!$B$19/365,0)</f>
        <v/>
      </c>
      <c r="C31" s="63">
        <f>ROUND((C4+C5+C6)*Assumptions!$B$19/365,0)</f>
        <v/>
      </c>
      <c r="D31" s="63">
        <f>ROUND((D4+D5+D6)*Assumptions!$B$19/365,0)</f>
        <v/>
      </c>
      <c r="E31" s="63">
        <f>ROUND((E4+E5+E6)*Assumptions!$B$19/365,0)</f>
        <v/>
      </c>
      <c r="F31" s="63">
        <f>ROUND((F4+F5+F6)*Assumptions!$B$19/365,0)</f>
        <v/>
      </c>
    </row>
    <row r="32" ht="15" customHeight="1" s="39">
      <c r="A32" s="47" t="inlineStr">
        <is>
          <t>Grants receivable</t>
        </is>
      </c>
      <c r="B32" s="61">
        <f>Financing!B17</f>
        <v/>
      </c>
      <c r="C32" s="61">
        <f>Financing!C17</f>
        <v/>
      </c>
      <c r="D32" s="61">
        <f>Financing!D17</f>
        <v/>
      </c>
      <c r="E32" s="61">
        <f>Financing!E17</f>
        <v/>
      </c>
      <c r="F32" s="61">
        <f>Financing!F17</f>
        <v/>
      </c>
    </row>
    <row r="33" ht="15" customHeight="1" s="39">
      <c r="A33" s="47" t="inlineStr">
        <is>
          <t>TREASURY</t>
        </is>
      </c>
      <c r="B33" s="63">
        <f>B67</f>
        <v/>
      </c>
      <c r="C33" s="63">
        <f>C67</f>
        <v/>
      </c>
      <c r="D33" s="63">
        <f>D67</f>
        <v/>
      </c>
      <c r="E33" s="63">
        <f>E67</f>
        <v/>
      </c>
      <c r="F33" s="63">
        <f>F67</f>
        <v/>
      </c>
    </row>
    <row r="35" ht="15" customHeight="1" s="39">
      <c r="A35" s="53" t="inlineStr">
        <is>
          <t>TOTAL ASSETS</t>
        </is>
      </c>
      <c r="B35" s="54">
        <f>B30+B31+B32+B33</f>
        <v/>
      </c>
      <c r="C35" s="54">
        <f>C30+C31+C32+C33</f>
        <v/>
      </c>
      <c r="D35" s="54">
        <f>D30+D31+D32+D33</f>
        <v/>
      </c>
      <c r="E35" s="54">
        <f>E30+E31+E32+E33</f>
        <v/>
      </c>
      <c r="F35" s="54">
        <f>F30+F31+F32+F33</f>
        <v/>
      </c>
    </row>
    <row r="38" ht="15" customHeight="1" s="39">
      <c r="A38" s="47" t="inlineStr">
        <is>
          <t>SOCIAL CAPITAL</t>
        </is>
      </c>
      <c r="B38" s="61">
        <f>Financing!B8</f>
        <v/>
      </c>
      <c r="C38" s="61">
        <f>Financing!C8</f>
        <v/>
      </c>
      <c r="D38" s="61">
        <f>Financing!D8</f>
        <v/>
      </c>
      <c r="E38" s="61">
        <f>Financing!E8</f>
        <v/>
      </c>
      <c r="F38" s="61">
        <f>Financing!F8</f>
        <v/>
      </c>
    </row>
    <row r="39" ht="15" customHeight="1" s="39">
      <c r="A39" s="47" t="inlineStr">
        <is>
          <t>RESERVES</t>
        </is>
      </c>
      <c r="B39" s="63">
        <f>0</f>
        <v/>
      </c>
      <c r="C39" s="63">
        <f>B39+B40</f>
        <v/>
      </c>
      <c r="D39" s="63">
        <f>C39+C40</f>
        <v/>
      </c>
      <c r="E39" s="63">
        <f>D39+D40</f>
        <v/>
      </c>
      <c r="F39" s="63">
        <f>E39+E40</f>
        <v/>
      </c>
    </row>
    <row r="40" ht="15" customHeight="1" s="39">
      <c r="A40" s="47" t="inlineStr">
        <is>
          <t>NET PROFIT</t>
        </is>
      </c>
      <c r="B40" s="63">
        <f>B24</f>
        <v/>
      </c>
      <c r="C40" s="63">
        <f>C24</f>
        <v/>
      </c>
      <c r="D40" s="63">
        <f>D24</f>
        <v/>
      </c>
      <c r="E40" s="63">
        <f>E24</f>
        <v/>
      </c>
      <c r="F40" s="63">
        <f>F24</f>
        <v/>
      </c>
    </row>
    <row r="41" ht="15" customHeight="1" s="39">
      <c r="A41" s="43" t="inlineStr">
        <is>
          <t>EQUITY</t>
        </is>
      </c>
      <c r="B41" s="64">
        <f>SUM(B38:B40)</f>
        <v/>
      </c>
      <c r="C41" s="64">
        <f>SUM(C38:C40)</f>
        <v/>
      </c>
      <c r="D41" s="64">
        <f>SUM(D38:D40)</f>
        <v/>
      </c>
      <c r="E41" s="64">
        <f>SUM(E38:E40)</f>
        <v/>
      </c>
      <c r="F41" s="64">
        <f>SUM(F38:F40)</f>
        <v/>
      </c>
    </row>
    <row r="42" ht="15" customHeight="1" s="39">
      <c r="A42" s="47" t="inlineStr">
        <is>
          <t>ENISA LOANS</t>
        </is>
      </c>
      <c r="B42" s="61">
        <f>Financing!B12</f>
        <v/>
      </c>
      <c r="C42" s="61">
        <f>Financing!C12</f>
        <v/>
      </c>
      <c r="D42" s="61">
        <f>Financing!D12</f>
        <v/>
      </c>
      <c r="E42" s="61">
        <f>Financing!E12</f>
        <v/>
      </c>
      <c r="F42" s="61">
        <f>Financing!F12</f>
        <v/>
      </c>
    </row>
    <row r="43" ht="15" customHeight="1" s="39">
      <c r="A43" s="47" t="inlineStr">
        <is>
          <t>Trade creditors</t>
        </is>
      </c>
      <c r="B43" s="63">
        <f>ROUND(-(B12+B15+B17)*Assumptions!$B$20/365,0)</f>
        <v/>
      </c>
      <c r="C43" s="63">
        <f>ROUND(-(C12+C15+C17)*Assumptions!$B$20/365,0)</f>
        <v/>
      </c>
      <c r="D43" s="63">
        <f>ROUND(-(D12+D15+D17)*Assumptions!$B$20/365,0)</f>
        <v/>
      </c>
      <c r="E43" s="63">
        <f>ROUND(-(E12+E15+E17)*Assumptions!$B$20/365,0)</f>
        <v/>
      </c>
      <c r="F43" s="63">
        <f>ROUND(-(F12+F15+F17)*Assumptions!$B$20/365,0)</f>
        <v/>
      </c>
    </row>
    <row r="46" ht="15" customHeight="1" s="39">
      <c r="A46" s="53" t="inlineStr">
        <is>
          <t>TOTAL LIABILITIES AND EQUITY</t>
        </is>
      </c>
      <c r="B46" s="54">
        <f>B41+B42+B43</f>
        <v/>
      </c>
      <c r="C46" s="54">
        <f>C41+C42+C43</f>
        <v/>
      </c>
      <c r="D46" s="54">
        <f>D41+D42+D43</f>
        <v/>
      </c>
      <c r="E46" s="54">
        <f>E41+E42+E43</f>
        <v/>
      </c>
      <c r="F46" s="54">
        <f>F41+F42+F43</f>
        <v/>
      </c>
    </row>
    <row r="47" ht="15" customHeight="1" s="39">
      <c r="A47" s="47" t="inlineStr">
        <is>
          <t>Check (must be zero)</t>
        </is>
      </c>
      <c r="B47" s="63">
        <f>B35-B46</f>
        <v/>
      </c>
      <c r="C47" s="63">
        <f>C35-C46</f>
        <v/>
      </c>
      <c r="D47" s="63">
        <f>D35-D46</f>
        <v/>
      </c>
      <c r="E47" s="63">
        <f>E35-E46</f>
        <v/>
      </c>
      <c r="F47" s="63">
        <f>F35-F46</f>
        <v/>
      </c>
    </row>
    <row r="49" ht="15" customHeight="1" s="39">
      <c r="A49" s="41" t="inlineStr">
        <is>
          <t>CASHFLOW (€k)</t>
        </is>
      </c>
      <c r="B49" s="41" t="inlineStr">
        <is>
          <t>2027</t>
        </is>
      </c>
      <c r="C49" s="41" t="inlineStr">
        <is>
          <t>2028</t>
        </is>
      </c>
      <c r="D49" s="41" t="inlineStr">
        <is>
          <t>2029</t>
        </is>
      </c>
      <c r="E49" s="41" t="inlineStr">
        <is>
          <t>2030</t>
        </is>
      </c>
      <c r="F49" s="41" t="inlineStr">
        <is>
          <t>2031</t>
        </is>
      </c>
    </row>
    <row r="50" ht="15" customHeight="1" s="39">
      <c r="A50" s="47" t="inlineStr">
        <is>
          <t>EBITDA</t>
        </is>
      </c>
      <c r="B50" s="63">
        <f>B18</f>
        <v/>
      </c>
      <c r="C50" s="63">
        <f>C18</f>
        <v/>
      </c>
      <c r="D50" s="63">
        <f>D18</f>
        <v/>
      </c>
      <c r="E50" s="63">
        <f>E18</f>
        <v/>
      </c>
      <c r="F50" s="63">
        <f>F18</f>
        <v/>
      </c>
    </row>
    <row r="51" ht="15" customHeight="1" s="39">
      <c r="A51" s="47" t="inlineStr">
        <is>
          <t>Financial result</t>
        </is>
      </c>
      <c r="B51" s="63">
        <f>B21</f>
        <v/>
      </c>
      <c r="C51" s="63">
        <f>C21</f>
        <v/>
      </c>
      <c r="D51" s="63">
        <f>D21</f>
        <v/>
      </c>
      <c r="E51" s="63">
        <f>E21</f>
        <v/>
      </c>
      <c r="F51" s="63">
        <f>F21</f>
        <v/>
      </c>
    </row>
    <row r="52" ht="15" customHeight="1" s="39">
      <c r="A52" s="47" t="inlineStr">
        <is>
          <t>Income tax</t>
        </is>
      </c>
      <c r="B52" s="63">
        <f>B23</f>
        <v/>
      </c>
      <c r="C52" s="63">
        <f>C23</f>
        <v/>
      </c>
      <c r="D52" s="63">
        <f>D23</f>
        <v/>
      </c>
      <c r="E52" s="63">
        <f>E23</f>
        <v/>
      </c>
      <c r="F52" s="63">
        <f>F23</f>
        <v/>
      </c>
    </row>
    <row r="53" ht="15" customHeight="1" s="39">
      <c r="A53" s="43" t="inlineStr">
        <is>
          <t>CURRENT CASH FLOW</t>
        </is>
      </c>
      <c r="B53" s="64">
        <f>SUM(B50:B52)</f>
        <v/>
      </c>
      <c r="C53" s="64">
        <f>SUM(C50:C52)</f>
        <v/>
      </c>
      <c r="D53" s="64">
        <f>SUM(D50:D52)</f>
        <v/>
      </c>
      <c r="E53" s="64">
        <f>SUM(E50:E52)</f>
        <v/>
      </c>
      <c r="F53" s="64">
        <f>SUM(F50:F52)</f>
        <v/>
      </c>
    </row>
    <row r="54" ht="15" customHeight="1" s="39">
      <c r="A54" s="47" t="inlineStr">
        <is>
          <t>Debtors change</t>
        </is>
      </c>
      <c r="B54" s="63">
        <f>-(B31+B32)</f>
        <v/>
      </c>
      <c r="C54" s="63">
        <f>-((C31+C32)-(B31+B32))</f>
        <v/>
      </c>
      <c r="D54" s="63">
        <f>-((D31+D32)-(C31+C32))</f>
        <v/>
      </c>
      <c r="E54" s="63">
        <f>-((E31+E32)-(D31+D32))</f>
        <v/>
      </c>
      <c r="F54" s="63">
        <f>-((F31+F32)-(E31+E32))</f>
        <v/>
      </c>
    </row>
    <row r="55" ht="15" customHeight="1" s="39">
      <c r="A55" s="47" t="inlineStr">
        <is>
          <t>Creditors change</t>
        </is>
      </c>
      <c r="B55" s="63">
        <f>B43</f>
        <v/>
      </c>
      <c r="C55" s="63">
        <f>C43-B43</f>
        <v/>
      </c>
      <c r="D55" s="63">
        <f>D43-C43</f>
        <v/>
      </c>
      <c r="E55" s="63">
        <f>E43-D43</f>
        <v/>
      </c>
      <c r="F55" s="63">
        <f>F43-E43</f>
        <v/>
      </c>
    </row>
    <row r="57" ht="15" customHeight="1" s="39">
      <c r="A57" s="43" t="inlineStr">
        <is>
          <t>GROSS CASH FLOW</t>
        </is>
      </c>
      <c r="B57" s="64">
        <f>B53+B54+B55</f>
        <v/>
      </c>
      <c r="C57" s="64">
        <f>C53+C54+C55</f>
        <v/>
      </c>
      <c r="D57" s="64">
        <f>D53+D54+D55</f>
        <v/>
      </c>
      <c r="E57" s="64">
        <f>E53+E54+E55</f>
        <v/>
      </c>
      <c r="F57" s="64">
        <f>F53+F54+F55</f>
        <v/>
      </c>
    </row>
    <row r="58" ht="15" customHeight="1" s="39">
      <c r="A58" s="47" t="inlineStr">
        <is>
          <t>Investment</t>
        </is>
      </c>
      <c r="B58" s="61">
        <f>-Ammortization!B7</f>
        <v/>
      </c>
      <c r="C58" s="61">
        <f>-Ammortization!C7</f>
        <v/>
      </c>
      <c r="D58" s="61">
        <f>-Ammortization!D7</f>
        <v/>
      </c>
      <c r="E58" s="61">
        <f>-Ammortization!E7</f>
        <v/>
      </c>
      <c r="F58" s="61">
        <f>-Ammortization!F7</f>
        <v/>
      </c>
    </row>
    <row r="60" ht="15" customHeight="1" s="39">
      <c r="A60" s="53" t="inlineStr">
        <is>
          <t>FREE CASH FLOW</t>
        </is>
      </c>
      <c r="B60" s="54">
        <f>B57+B58</f>
        <v/>
      </c>
      <c r="C60" s="54">
        <f>C57+C58</f>
        <v/>
      </c>
      <c r="D60" s="54">
        <f>D57+D58</f>
        <v/>
      </c>
      <c r="E60" s="54">
        <f>E57+E58</f>
        <v/>
      </c>
      <c r="F60" s="54">
        <f>F57+F58</f>
        <v/>
      </c>
    </row>
    <row r="61" ht="15" customHeight="1" s="39">
      <c r="A61" s="47" t="inlineStr">
        <is>
          <t>Loans drawn / (repaid)</t>
        </is>
      </c>
      <c r="B61" s="61">
        <f>Financing!B10-Financing!B11</f>
        <v/>
      </c>
      <c r="C61" s="61">
        <f>Financing!C10-Financing!C11</f>
        <v/>
      </c>
      <c r="D61" s="61">
        <f>Financing!D10-Financing!D11</f>
        <v/>
      </c>
      <c r="E61" s="61">
        <f>Financing!E10-Financing!E11</f>
        <v/>
      </c>
      <c r="F61" s="61">
        <f>Financing!F10-Financing!F11</f>
        <v/>
      </c>
    </row>
    <row r="62" ht="15" customHeight="1" s="39">
      <c r="A62" s="47" t="inlineStr">
        <is>
          <t>Capital increases</t>
        </is>
      </c>
      <c r="B62" s="61">
        <f>Financing!B7</f>
        <v/>
      </c>
      <c r="C62" s="61">
        <f>Financing!C7</f>
        <v/>
      </c>
      <c r="D62" s="61">
        <f>Financing!D7</f>
        <v/>
      </c>
      <c r="E62" s="61">
        <f>Financing!E7</f>
        <v/>
      </c>
      <c r="F62" s="61">
        <f>Financing!F7</f>
        <v/>
      </c>
    </row>
    <row r="64" ht="15" customHeight="1" s="39">
      <c r="A64" s="43" t="inlineStr">
        <is>
          <t>FINANCIAL CASH FLOW</t>
        </is>
      </c>
      <c r="B64" s="64">
        <f>B61+B62</f>
        <v/>
      </c>
      <c r="C64" s="64">
        <f>C61+C62</f>
        <v/>
      </c>
      <c r="D64" s="64">
        <f>D61+D62</f>
        <v/>
      </c>
      <c r="E64" s="64">
        <f>E61+E62</f>
        <v/>
      </c>
      <c r="F64" s="64">
        <f>F61+F62</f>
        <v/>
      </c>
    </row>
    <row r="66" ht="15" customHeight="1" s="39">
      <c r="A66" s="43" t="inlineStr">
        <is>
          <t>TREASURY VARIATION</t>
        </is>
      </c>
      <c r="B66" s="64">
        <f>B60+B64</f>
        <v/>
      </c>
      <c r="C66" s="64">
        <f>C60+C64</f>
        <v/>
      </c>
      <c r="D66" s="64">
        <f>D60+D64</f>
        <v/>
      </c>
      <c r="E66" s="64">
        <f>E60+E64</f>
        <v/>
      </c>
      <c r="F66" s="64">
        <f>F60+F64</f>
        <v/>
      </c>
    </row>
    <row r="67" ht="15" customHeight="1" s="39">
      <c r="A67" s="53" t="inlineStr">
        <is>
          <t>ACCUMULATED CASH</t>
        </is>
      </c>
      <c r="B67" s="54">
        <f>B66</f>
        <v/>
      </c>
      <c r="C67" s="54">
        <f>B67+C66</f>
        <v/>
      </c>
      <c r="D67" s="54">
        <f>C67+D66</f>
        <v/>
      </c>
      <c r="E67" s="54">
        <f>D67+E66</f>
        <v/>
      </c>
      <c r="F67" s="54">
        <f>E67+F66</f>
        <v/>
      </c>
    </row>
    <row r="68" ht="15" customHeight="1" s="39">
      <c r="A68" s="47" t="inlineStr">
        <is>
          <t>Cumulative cash before equity</t>
        </is>
      </c>
      <c r="B68" s="63">
        <f>B67-Financing!B8</f>
        <v/>
      </c>
      <c r="C68" s="63">
        <f>C67-Financing!C8</f>
        <v/>
      </c>
      <c r="D68" s="63">
        <f>D67-Financing!D8</f>
        <v/>
      </c>
      <c r="E68" s="63">
        <f>E67-Financing!E8</f>
        <v/>
      </c>
      <c r="F68" s="63">
        <f>F67-Financing!F8</f>
        <v/>
      </c>
    </row>
    <row r="69" ht="15" customHeight="1" s="39">
      <c r="A69" s="43" t="inlineStr">
        <is>
          <t>Peak funding need before equity (€k)</t>
        </is>
      </c>
      <c r="B69" s="43">
        <f>-MIN(0,MIN(B68:F68))</f>
        <v/>
      </c>
    </row>
    <row r="70" ht="15" customHeight="1" s="39">
      <c r="A70" s="43" t="inlineStr">
        <is>
          <t>EBITDA break-even year</t>
        </is>
      </c>
      <c r="B70" s="43">
        <f>IF(B18&gt;0,B3,IF(C18&gt;0,C3,IF(D18&gt;0,D3,IF(E18&gt;0,E3,IF(F18&gt;0,F3,"after 2031")))))</f>
        <v/>
      </c>
    </row>
    <row r="72" ht="15" customHeight="1" s="39">
      <c r="A72" s="41" t="inlineStr">
        <is>
          <t>VAN (€k)</t>
        </is>
      </c>
      <c r="B72" s="41" t="inlineStr">
        <is>
          <t>2027</t>
        </is>
      </c>
      <c r="C72" s="41" t="inlineStr">
        <is>
          <t>2028</t>
        </is>
      </c>
      <c r="D72" s="41" t="inlineStr">
        <is>
          <t>2029</t>
        </is>
      </c>
      <c r="E72" s="41" t="inlineStr">
        <is>
          <t>2030</t>
        </is>
      </c>
      <c r="F72" s="41" t="inlineStr">
        <is>
          <t>2031</t>
        </is>
      </c>
    </row>
    <row r="73" ht="15" customHeight="1" s="39">
      <c r="A73" s="47" t="inlineStr">
        <is>
          <t>Free cash flow</t>
        </is>
      </c>
      <c r="B73" s="63">
        <f>B60</f>
        <v/>
      </c>
      <c r="C73" s="63">
        <f>C60</f>
        <v/>
      </c>
      <c r="D73" s="63">
        <f>D60</f>
        <v/>
      </c>
      <c r="E73" s="63">
        <f>E60</f>
        <v/>
      </c>
      <c r="F73" s="63">
        <f>F60</f>
        <v/>
      </c>
    </row>
    <row r="76" ht="15" customHeight="1" s="39">
      <c r="A76" s="47" t="inlineStr">
        <is>
          <t>Discount factor</t>
        </is>
      </c>
      <c r="B76" s="69">
        <f>1/(1+Assumptions!$B$26)^1</f>
        <v/>
      </c>
      <c r="C76" s="69">
        <f>1/(1+Assumptions!$B$26)^2</f>
        <v/>
      </c>
      <c r="D76" s="69">
        <f>1/(1+Assumptions!$B$26)^3</f>
        <v/>
      </c>
      <c r="E76" s="69">
        <f>1/(1+Assumptions!$B$26)^4</f>
        <v/>
      </c>
      <c r="F76" s="69">
        <f>1/(1+Assumptions!$B$26)^5</f>
        <v/>
      </c>
    </row>
    <row r="77" ht="15" customHeight="1" s="39">
      <c r="A77" s="47" t="inlineStr">
        <is>
          <t>Present value</t>
        </is>
      </c>
      <c r="B77" s="63">
        <f>B73*B76</f>
        <v/>
      </c>
      <c r="C77" s="63">
        <f>C73*C76</f>
        <v/>
      </c>
      <c r="D77" s="63">
        <f>D73*D76</f>
        <v/>
      </c>
      <c r="E77" s="63">
        <f>E73*E76</f>
        <v/>
      </c>
      <c r="F77" s="63">
        <f>F73*F76</f>
        <v/>
      </c>
    </row>
    <row r="78" ht="15" customHeight="1" s="39">
      <c r="A78" s="47" t="inlineStr">
        <is>
          <t>Terminal value</t>
        </is>
      </c>
      <c r="B78" s="70">
        <f>Assumptions!$B$27*F8</f>
        <v/>
      </c>
    </row>
    <row r="79" ht="15" customHeight="1" s="39">
      <c r="A79" s="47" t="inlineStr">
        <is>
          <t>NPV of free cash flows</t>
        </is>
      </c>
      <c r="B79" s="70">
        <f>SUM(B77:F77)</f>
        <v/>
      </c>
    </row>
    <row r="80" ht="15" customHeight="1" s="39">
      <c r="A80" s="47" t="inlineStr">
        <is>
          <t>VAN incl. terminal value</t>
        </is>
      </c>
      <c r="B80" s="71">
        <f>B79+B78*F76</f>
        <v/>
      </c>
    </row>
    <row r="81" ht="15" customHeight="1" s="39">
      <c r="A81" s="41" t="inlineStr">
        <is>
          <t>Tax computation (€k)</t>
        </is>
      </c>
      <c r="B81" s="41" t="inlineStr">
        <is>
          <t>2027</t>
        </is>
      </c>
      <c r="C81" s="41" t="inlineStr">
        <is>
          <t>2028</t>
        </is>
      </c>
      <c r="D81" s="41" t="inlineStr">
        <is>
          <t>2029</t>
        </is>
      </c>
      <c r="E81" s="41" t="inlineStr">
        <is>
          <t>2030</t>
        </is>
      </c>
      <c r="F81" s="41" t="inlineStr">
        <is>
          <t>2031</t>
        </is>
      </c>
    </row>
    <row r="82" ht="15" customHeight="1" s="39">
      <c r="A82" s="47" t="inlineStr">
        <is>
          <t>Income tax payable</t>
        </is>
      </c>
      <c r="B82" s="63">
        <f>IF(B86&gt;0,ROUND(B86*IF(B87&lt;=Assumptions!$B$25,Assumptions!$B$23,Assumptions!$B$24),0),0)</f>
        <v/>
      </c>
      <c r="C82" s="63">
        <f>IF(C86&gt;0,ROUND(C86*IF(C87&lt;=Assumptions!$B$25,Assumptions!$B$23,Assumptions!$B$24),0),0)</f>
        <v/>
      </c>
      <c r="D82" s="63">
        <f>IF(D86&gt;0,ROUND(D86*IF(D87&lt;=Assumptions!$B$25,Assumptions!$B$23,Assumptions!$B$24),0),0)</f>
        <v/>
      </c>
      <c r="E82" s="63">
        <f>IF(E86&gt;0,ROUND(E86*IF(E87&lt;=Assumptions!$B$25,Assumptions!$B$23,Assumptions!$B$24),0),0)</f>
        <v/>
      </c>
      <c r="F82" s="63">
        <f>IF(F86&gt;0,ROUND(F86*IF(F87&lt;=Assumptions!$B$25,Assumptions!$B$23,Assumptions!$B$24),0),0)</f>
        <v/>
      </c>
    </row>
    <row r="83" ht="15" customHeight="1" s="39">
      <c r="A83" s="47" t="inlineStr">
        <is>
          <t>Losses available (opening)</t>
        </is>
      </c>
      <c r="B83" s="63">
        <f>0</f>
        <v/>
      </c>
      <c r="C83" s="63">
        <f>B85</f>
        <v/>
      </c>
      <c r="D83" s="63">
        <f>C85</f>
        <v/>
      </c>
      <c r="E83" s="63">
        <f>D85</f>
        <v/>
      </c>
      <c r="F83" s="63">
        <f>E85</f>
        <v/>
      </c>
    </row>
    <row r="84" ht="15" customHeight="1" s="39">
      <c r="A84" s="47" t="inlineStr">
        <is>
          <t>Losses used</t>
        </is>
      </c>
      <c r="B84" s="63">
        <f>MIN(B83,MAX(B22,0))</f>
        <v/>
      </c>
      <c r="C84" s="63">
        <f>MIN(C83,MAX(C22,0))</f>
        <v/>
      </c>
      <c r="D84" s="63">
        <f>MIN(D83,MAX(D22,0))</f>
        <v/>
      </c>
      <c r="E84" s="63">
        <f>MIN(E83,MAX(E22,0))</f>
        <v/>
      </c>
      <c r="F84" s="63">
        <f>MIN(F83,MAX(F22,0))</f>
        <v/>
      </c>
    </row>
    <row r="85" ht="15" customHeight="1" s="39">
      <c r="A85" s="47" t="inlineStr">
        <is>
          <t>Losses available (closing)</t>
        </is>
      </c>
      <c r="B85" s="63">
        <f>B83-B84+MAX(-B22,0)</f>
        <v/>
      </c>
      <c r="C85" s="63">
        <f>C83-C84+MAX(-C22,0)</f>
        <v/>
      </c>
      <c r="D85" s="63">
        <f>D83-D84+MAX(-D22,0)</f>
        <v/>
      </c>
      <c r="E85" s="63">
        <f>E83-E84+MAX(-E22,0)</f>
        <v/>
      </c>
      <c r="F85" s="63">
        <f>F83-F84+MAX(-F22,0)</f>
        <v/>
      </c>
    </row>
    <row r="86" ht="15" customHeight="1" s="39">
      <c r="A86" s="47" t="inlineStr">
        <is>
          <t>Taxable base</t>
        </is>
      </c>
      <c r="B86" s="63">
        <f>MAX(B22,0)-B84</f>
        <v/>
      </c>
      <c r="C86" s="63">
        <f>MAX(C22,0)-C84</f>
        <v/>
      </c>
      <c r="D86" s="63">
        <f>MAX(D22,0)-D84</f>
        <v/>
      </c>
      <c r="E86" s="63">
        <f>MAX(E22,0)-E84</f>
        <v/>
      </c>
      <c r="F86" s="63">
        <f>MAX(F22,0)-F84</f>
        <v/>
      </c>
    </row>
    <row r="87" ht="15" customHeight="1" s="39">
      <c r="A87" s="47" t="inlineStr">
        <is>
          <t>Years with positive base</t>
        </is>
      </c>
      <c r="B87" s="72">
        <f>(B86&gt;0)*1</f>
        <v/>
      </c>
      <c r="C87" s="72">
        <f>B87+(C86&gt;0)*1</f>
        <v/>
      </c>
      <c r="D87" s="72">
        <f>C87+(D86&gt;0)*1</f>
        <v/>
      </c>
      <c r="E87" s="72">
        <f>D87+(E86&gt;0)*1</f>
        <v/>
      </c>
      <c r="F87" s="72">
        <f>E87+(F86&gt;0)*1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outlinePr summaryBelow="1" summaryRight="1"/>
    <pageSetUpPr fitToPage="0"/>
  </sheetPr>
  <dimension ref="A1:F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2" customWidth="1" style="38" min="2" max="6"/>
    <col width="60" customWidth="1" style="38" min="7" max="7"/>
  </cols>
  <sheetData>
    <row r="1" ht="17.35" customHeight="1" s="39">
      <c r="A1" s="40" t="inlineStr">
        <is>
          <t>TIR (IRR)</t>
        </is>
      </c>
    </row>
    <row r="3" ht="15" customHeight="1" s="39">
      <c r="A3" s="41" t="inlineStr">
        <is>
          <t>€ thousands</t>
        </is>
      </c>
      <c r="B3" s="41" t="inlineStr">
        <is>
          <t>2027</t>
        </is>
      </c>
      <c r="C3" s="41" t="inlineStr">
        <is>
          <t>2028</t>
        </is>
      </c>
      <c r="D3" s="41" t="inlineStr">
        <is>
          <t>2029</t>
        </is>
      </c>
      <c r="E3" s="41" t="inlineStr">
        <is>
          <t>2030</t>
        </is>
      </c>
      <c r="F3" s="41" t="inlineStr">
        <is>
          <t>2031</t>
        </is>
      </c>
    </row>
    <row r="4" ht="15" customHeight="1" s="39">
      <c r="A4" s="47" t="inlineStr">
        <is>
          <t>Free cash flow</t>
        </is>
      </c>
      <c r="B4" s="61">
        <f>'FINANCIAL MODEL'!B60</f>
        <v/>
      </c>
      <c r="C4" s="61">
        <f>'FINANCIAL MODEL'!C60</f>
        <v/>
      </c>
      <c r="D4" s="61">
        <f>'FINANCIAL MODEL'!D60</f>
        <v/>
      </c>
      <c r="E4" s="61">
        <f>'FINANCIAL MODEL'!E60</f>
        <v/>
      </c>
      <c r="F4" s="61">
        <f>'FINANCIAL MODEL'!F60</f>
        <v/>
      </c>
    </row>
    <row r="5" ht="15" customHeight="1" s="39">
      <c r="A5" s="47" t="inlineStr">
        <is>
          <t>Terminal value</t>
        </is>
      </c>
      <c r="B5" s="63" t="n">
        <v>0</v>
      </c>
      <c r="C5" s="63" t="n">
        <v>0</v>
      </c>
      <c r="D5" s="63" t="n">
        <v>0</v>
      </c>
      <c r="E5" s="63" t="n">
        <v>0</v>
      </c>
      <c r="F5" s="63">
        <f>'FINANCIAL MODEL'!B78</f>
        <v/>
      </c>
    </row>
    <row r="6" ht="15" customHeight="1" s="39">
      <c r="A6" s="43" t="inlineStr">
        <is>
          <t>Flows</t>
        </is>
      </c>
      <c r="B6" s="64">
        <f>B4+B5</f>
        <v/>
      </c>
      <c r="C6" s="64">
        <f>C4+C5</f>
        <v/>
      </c>
      <c r="D6" s="64">
        <f>D4+D5</f>
        <v/>
      </c>
      <c r="E6" s="64">
        <f>E4+E5</f>
        <v/>
      </c>
      <c r="F6" s="64">
        <f>F4+F5</f>
        <v/>
      </c>
    </row>
    <row r="8" ht="15" customHeight="1" s="39">
      <c r="A8" s="47" t="inlineStr">
        <is>
          <t>TIR incl. terminal value</t>
        </is>
      </c>
      <c r="B8" s="73">
        <f>IFERROR(IRR(B6:F6),"n/a")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outlinePr summaryBelow="1" summaryRight="1"/>
    <pageSetUpPr fitToPage="0"/>
  </sheetPr>
  <dimension ref="A1:B1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4" customWidth="1" style="38" min="2" max="2"/>
    <col width="12" customWidth="1" style="38" min="3" max="6"/>
    <col width="60" customWidth="1" style="38" min="7" max="7"/>
  </cols>
  <sheetData>
    <row r="1" ht="17.35" customHeight="1" s="39">
      <c r="A1" s="40" t="inlineStr">
        <is>
          <t>Sources and uses until break-even, 2027–2029</t>
        </is>
      </c>
    </row>
    <row r="3" ht="15" customHeight="1" s="39">
      <c r="A3" s="43" t="inlineStr">
        <is>
          <t>Sources</t>
        </is>
      </c>
    </row>
    <row r="4" ht="15" customHeight="1" s="39">
      <c r="A4" s="38" t="inlineStr">
        <is>
          <t>Equity</t>
        </is>
      </c>
      <c r="B4" s="38">
        <f>SUM(Financing!B7:D7)</f>
        <v/>
      </c>
    </row>
    <row r="5" ht="15" customHeight="1" s="39">
      <c r="A5" s="38" t="inlineStr">
        <is>
          <t>ENISA loans</t>
        </is>
      </c>
      <c r="B5" s="38">
        <f>SUM(Financing!B10:D10)</f>
        <v/>
      </c>
    </row>
    <row r="6" ht="15" customHeight="1" s="39">
      <c r="A6" s="38" t="inlineStr">
        <is>
          <t>Grants (income)</t>
        </is>
      </c>
      <c r="B6" s="38">
        <f>SUM(Financing!B15:D15)</f>
        <v/>
      </c>
    </row>
    <row r="7" ht="15" customHeight="1" s="39">
      <c r="A7" s="43" t="inlineStr">
        <is>
          <t>TOTAL SOURCES</t>
        </is>
      </c>
      <c r="B7" s="43">
        <f>SUM(B4:B6)</f>
        <v/>
      </c>
    </row>
    <row r="9" ht="15" customHeight="1" s="39">
      <c r="A9" s="43" t="inlineStr">
        <is>
          <t>Uses</t>
        </is>
      </c>
    </row>
    <row r="10" ht="15" customHeight="1" s="39">
      <c r="A10" s="38" t="inlineStr">
        <is>
          <t>Operating losses before grants</t>
        </is>
      </c>
      <c r="B10" s="38">
        <f>-(SUM('FINANCIAL MODEL'!B53:D53)-SUM('FINANCIAL MODEL'!B14:D14))</f>
        <v/>
      </c>
    </row>
    <row r="11" ht="15" customHeight="1" s="39">
      <c r="A11" s="38" t="inlineStr">
        <is>
          <t>Working capital end 2029</t>
        </is>
      </c>
      <c r="B11" s="38">
        <f>'FINANCIAL MODEL'!D31+'FINANCIAL MODEL'!D32-'FINANCIAL MODEL'!D43</f>
        <v/>
      </c>
    </row>
    <row r="12" ht="15" customHeight="1" s="39">
      <c r="A12" s="38" t="inlineStr">
        <is>
          <t>Capex 2027–2029</t>
        </is>
      </c>
      <c r="B12" s="38">
        <f>SUM(Ammortization!B7:D7)</f>
        <v/>
      </c>
    </row>
    <row r="13" ht="15" customHeight="1" s="39">
      <c r="A13" s="38" t="inlineStr">
        <is>
          <t>Loan repayments</t>
        </is>
      </c>
      <c r="B13" s="38">
        <f>SUM(Financing!B11:D11)</f>
        <v/>
      </c>
    </row>
    <row r="14" ht="15" customHeight="1" s="39">
      <c r="A14" s="38" t="inlineStr">
        <is>
          <t>Cash end 2029</t>
        </is>
      </c>
      <c r="B14" s="74">
        <f>'FINANCIAL MODEL'!D67</f>
        <v/>
      </c>
    </row>
    <row r="15" ht="15" customHeight="1" s="39">
      <c r="A15" s="43" t="inlineStr">
        <is>
          <t>TOTAL USES</t>
        </is>
      </c>
      <c r="B15" s="43">
        <f>SUM(B10:B14)</f>
        <v/>
      </c>
    </row>
    <row r="17" ht="15" customHeight="1" s="39">
      <c r="A17" s="38" t="inlineStr">
        <is>
          <t>Check</t>
        </is>
      </c>
      <c r="B17" s="38">
        <f>B7-B15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outlinePr summaryBelow="1" summaryRight="1"/>
    <pageSetUpPr fitToPage="0"/>
  </sheetPr>
  <dimension ref="A1:F3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2" customWidth="1" style="38" min="2" max="6"/>
    <col width="60" customWidth="1" style="38" min="7" max="7"/>
  </cols>
  <sheetData>
    <row r="1" ht="17.35" customHeight="1" s="39">
      <c r="A1" s="79" t="inlineStr">
        <is>
          <t>Cost of revenue and gross margin (SaaS standard), reconciled to the P&amp;L</t>
        </is>
      </c>
      <c r="B1" s="85" t="n"/>
      <c r="C1" s="85" t="n"/>
      <c r="D1" s="85" t="n"/>
      <c r="E1" s="85" t="n"/>
      <c r="F1" s="85" t="n"/>
    </row>
    <row r="2">
      <c r="A2" s="85" t="n"/>
      <c r="B2" s="85" t="n"/>
      <c r="C2" s="85" t="n"/>
      <c r="D2" s="85" t="n"/>
      <c r="E2" s="85" t="n"/>
      <c r="F2" s="85" t="n"/>
    </row>
    <row r="3" ht="15" customHeight="1" s="39">
      <c r="A3" s="89" t="inlineStr">
        <is>
          <t>€ thousands</t>
        </is>
      </c>
      <c r="B3" s="89" t="inlineStr">
        <is>
          <t>2027</t>
        </is>
      </c>
      <c r="C3" s="89" t="inlineStr">
        <is>
          <t>2028</t>
        </is>
      </c>
      <c r="D3" s="89" t="inlineStr">
        <is>
          <t>2029</t>
        </is>
      </c>
      <c r="E3" s="89" t="inlineStr">
        <is>
          <t>2030</t>
        </is>
      </c>
      <c r="F3" s="89" t="inlineStr">
        <is>
          <t>2031</t>
        </is>
      </c>
    </row>
    <row r="4" ht="15" customHeight="1" s="39">
      <c r="A4" s="79" t="inlineStr">
        <is>
          <t>Revenue</t>
        </is>
      </c>
      <c r="B4" s="109">
        <f>'FINANCIAL MODEL'!B8</f>
        <v/>
      </c>
      <c r="C4" s="109">
        <f>'FINANCIAL MODEL'!C8</f>
        <v/>
      </c>
      <c r="D4" s="109">
        <f>'FINANCIAL MODEL'!D8</f>
        <v/>
      </c>
      <c r="E4" s="109">
        <f>'FINANCIAL MODEL'!E8</f>
        <v/>
      </c>
      <c r="F4" s="109">
        <f>'FINANCIAL MODEL'!F8</f>
        <v/>
      </c>
    </row>
    <row r="5" ht="15" customHeight="1" s="39">
      <c r="A5" s="81" t="inlineStr">
        <is>
          <t>Usage: newsrooms (search, AI judge)</t>
        </is>
      </c>
      <c r="B5" s="104">
        <f>ROUND('FINANCIAL MODEL'!B4*Assumptions!$B$13,0)</f>
        <v/>
      </c>
      <c r="C5" s="104">
        <f>ROUND('FINANCIAL MODEL'!C4*Assumptions!$B$13,0)</f>
        <v/>
      </c>
      <c r="D5" s="104">
        <f>ROUND('FINANCIAL MODEL'!D4*Assumptions!$B$13,0)</f>
        <v/>
      </c>
      <c r="E5" s="104">
        <f>ROUND('FINANCIAL MODEL'!E4*Assumptions!$B$13,0)</f>
        <v/>
      </c>
      <c r="F5" s="104">
        <f>ROUND('FINANCIAL MODEL'!F4*Assumptions!$B$13,0)</f>
        <v/>
      </c>
    </row>
    <row r="6">
      <c r="A6" s="85" t="inlineStr">
        <is>
          <t>Usage: PR &amp; communications</t>
        </is>
      </c>
      <c r="B6" s="110">
        <f>ROUND('FINANCIAL MODEL'!B5*Assumptions!$B$14,0)</f>
        <v/>
      </c>
      <c r="C6" s="110">
        <f>ROUND('FINANCIAL MODEL'!C5*Assumptions!$B$14,0)</f>
        <v/>
      </c>
      <c r="D6" s="110">
        <f>ROUND('FINANCIAL MODEL'!D5*Assumptions!$B$14,0)</f>
        <v/>
      </c>
      <c r="E6" s="110">
        <f>ROUND('FINANCIAL MODEL'!E5*Assumptions!$B$14,0)</f>
        <v/>
      </c>
      <c r="F6" s="110">
        <f>ROUND('FINANCIAL MODEL'!F5*Assumptions!$B$14,0)</f>
        <v/>
      </c>
    </row>
    <row r="7" ht="15" customHeight="1" s="39">
      <c r="A7" s="81" t="inlineStr">
        <is>
          <t>Usage: public-integrity (pack refresh)</t>
        </is>
      </c>
      <c r="B7" s="104">
        <f>ROUND('FINANCIAL MODEL'!B6*Assumptions!$B$15,0)</f>
        <v/>
      </c>
      <c r="C7" s="104">
        <f>ROUND('FINANCIAL MODEL'!C6*Assumptions!$B$15,0)</f>
        <v/>
      </c>
      <c r="D7" s="104">
        <f>ROUND('FINANCIAL MODEL'!D6*Assumptions!$B$15,0)</f>
        <v/>
      </c>
      <c r="E7" s="104">
        <f>ROUND('FINANCIAL MODEL'!E6*Assumptions!$B$15,0)</f>
        <v/>
      </c>
      <c r="F7" s="104">
        <f>ROUND('FINANCIAL MODEL'!F6*Assumptions!$B$15,0)</f>
        <v/>
      </c>
    </row>
    <row r="8" ht="15" customHeight="1" s="39">
      <c r="A8" s="81" t="inlineStr">
        <is>
          <t>Usage: API</t>
        </is>
      </c>
      <c r="B8" s="104">
        <f>ROUND('FINANCIAL MODEL'!B7*Assumptions!$B$16,0)</f>
        <v/>
      </c>
      <c r="C8" s="104">
        <f>ROUND('FINANCIAL MODEL'!C7*Assumptions!$B$16,0)</f>
        <v/>
      </c>
      <c r="D8" s="104">
        <f>ROUND('FINANCIAL MODEL'!D7*Assumptions!$B$16,0)</f>
        <v/>
      </c>
      <c r="E8" s="104">
        <f>ROUND('FINANCIAL MODEL'!E7*Assumptions!$B$16,0)</f>
        <v/>
      </c>
      <c r="F8" s="104">
        <f>ROUND('FINANCIAL MODEL'!F7*Assumptions!$B$16,0)</f>
        <v/>
      </c>
    </row>
    <row r="9">
      <c r="A9" s="85" t="inlineStr">
        <is>
          <t>Production hosting, cloud GPU, database</t>
        </is>
      </c>
      <c r="B9" s="111">
        <f>'Other expenses'!B16</f>
        <v/>
      </c>
      <c r="C9" s="111">
        <f>'Other expenses'!C16</f>
        <v/>
      </c>
      <c r="D9" s="111">
        <f>'Other expenses'!D16</f>
        <v/>
      </c>
      <c r="E9" s="111">
        <f>'Other expenses'!E16</f>
        <v/>
      </c>
      <c r="F9" s="111">
        <f>'Other expenses'!F16</f>
        <v/>
      </c>
    </row>
    <row r="10" ht="15" customHeight="1" s="39">
      <c r="A10" s="81" t="inlineStr">
        <is>
          <t>Customer success and deployment staff</t>
        </is>
      </c>
      <c r="B10" s="112">
        <f>'Staff expenses'!B17</f>
        <v/>
      </c>
      <c r="C10" s="112">
        <f>'Staff expenses'!C17</f>
        <v/>
      </c>
      <c r="D10" s="112">
        <f>'Staff expenses'!D17</f>
        <v/>
      </c>
      <c r="E10" s="112">
        <f>'Staff expenses'!E17</f>
        <v/>
      </c>
      <c r="F10" s="112">
        <f>'Staff expenses'!F17</f>
        <v/>
      </c>
    </row>
    <row r="11" ht="15" customHeight="1" s="39">
      <c r="A11" s="81" t="inlineStr">
        <is>
          <t>Royalty UAB/CVC</t>
        </is>
      </c>
      <c r="B11" s="112">
        <f>-'FINANCIAL MODEL'!B9</f>
        <v/>
      </c>
      <c r="C11" s="112">
        <f>-'FINANCIAL MODEL'!C9</f>
        <v/>
      </c>
      <c r="D11" s="112">
        <f>-'FINANCIAL MODEL'!D9</f>
        <v/>
      </c>
      <c r="E11" s="112">
        <f>-'FINANCIAL MODEL'!E9</f>
        <v/>
      </c>
      <c r="F11" s="112">
        <f>-'FINANCIAL MODEL'!F9</f>
        <v/>
      </c>
    </row>
    <row r="12">
      <c r="A12" s="85" t="inlineStr">
        <is>
          <t>Payment fees</t>
        </is>
      </c>
      <c r="B12" s="111">
        <f>-'FINANCIAL MODEL'!B11</f>
        <v/>
      </c>
      <c r="C12" s="111">
        <f>-'FINANCIAL MODEL'!C11</f>
        <v/>
      </c>
      <c r="D12" s="111">
        <f>-'FINANCIAL MODEL'!D11</f>
        <v/>
      </c>
      <c r="E12" s="111">
        <f>-'FINANCIAL MODEL'!E11</f>
        <v/>
      </c>
      <c r="F12" s="111">
        <f>-'FINANCIAL MODEL'!F11</f>
        <v/>
      </c>
    </row>
    <row r="13" ht="15" customHeight="1" s="39">
      <c r="A13" s="108" t="inlineStr">
        <is>
          <t>TOTAL COST OF REVENUE</t>
        </is>
      </c>
      <c r="B13" s="113">
        <f>SUM(B5:B12)</f>
        <v/>
      </c>
      <c r="C13" s="113">
        <f>SUM(C5:C12)</f>
        <v/>
      </c>
      <c r="D13" s="113">
        <f>SUM(D5:D12)</f>
        <v/>
      </c>
      <c r="E13" s="113">
        <f>SUM(E5:E12)</f>
        <v/>
      </c>
      <c r="F13" s="113">
        <f>SUM(F5:F12)</f>
        <v/>
      </c>
    </row>
    <row r="14" ht="15" customHeight="1" s="39">
      <c r="A14" s="108" t="inlineStr">
        <is>
          <t>GROSS MARGIN</t>
        </is>
      </c>
      <c r="B14" s="113">
        <f>B4-B13</f>
        <v/>
      </c>
      <c r="C14" s="113">
        <f>C4-C13</f>
        <v/>
      </c>
      <c r="D14" s="113">
        <f>D4-D13</f>
        <v/>
      </c>
      <c r="E14" s="113">
        <f>E4-E13</f>
        <v/>
      </c>
      <c r="F14" s="113">
        <f>F4-F13</f>
        <v/>
      </c>
    </row>
    <row r="15">
      <c r="A15" s="114" t="inlineStr">
        <is>
          <t>Gross margin %</t>
        </is>
      </c>
      <c r="B15" s="115">
        <f>IF(B4=0,0,B14/B4)</f>
        <v/>
      </c>
      <c r="C15" s="115">
        <f>IF(C4=0,0,C14/C4)</f>
        <v/>
      </c>
      <c r="D15" s="115">
        <f>IF(D4=0,0,D14/D4)</f>
        <v/>
      </c>
      <c r="E15" s="115">
        <f>IF(E4=0,0,E14/E4)</f>
        <v/>
      </c>
      <c r="F15" s="115">
        <f>IF(F4=0,0,F14/F4)</f>
        <v/>
      </c>
    </row>
    <row r="16" ht="15" customHeight="1" s="39">
      <c r="A16" s="81" t="inlineStr">
        <is>
          <t>Check vs P&amp;L (must be zero)</t>
        </is>
      </c>
      <c r="B16" s="104">
        <f>B14-'FINANCIAL MODEL'!B13</f>
        <v/>
      </c>
      <c r="C16" s="104">
        <f>C14-'FINANCIAL MODEL'!C13</f>
        <v/>
      </c>
      <c r="D16" s="104">
        <f>D14-'FINANCIAL MODEL'!D13</f>
        <v/>
      </c>
      <c r="E16" s="104">
        <f>E14-'FINANCIAL MODEL'!E13</f>
        <v/>
      </c>
      <c r="F16" s="104">
        <f>F14-'FINANCIAL MODEL'!F13</f>
        <v/>
      </c>
    </row>
    <row r="17">
      <c r="A17" s="85" t="n"/>
      <c r="B17" s="85" t="n"/>
      <c r="C17" s="85" t="n"/>
      <c r="D17" s="85" t="n"/>
      <c r="E17" s="85" t="n"/>
      <c r="F17" s="85" t="n"/>
    </row>
    <row r="18">
      <c r="A18" s="114" t="inlineStr">
        <is>
          <t>Usage gross margin by line (after usage, royalty and payment fees; before fixed hosting and customer success)</t>
        </is>
      </c>
      <c r="B18" s="85" t="n"/>
      <c r="C18" s="85" t="n"/>
      <c r="D18" s="85" t="n"/>
      <c r="E18" s="85" t="n"/>
      <c r="F18" s="85" t="n"/>
    </row>
    <row r="19">
      <c r="A19" s="85" t="inlineStr">
        <is>
          <t>Newsrooms</t>
        </is>
      </c>
      <c r="B19" s="116">
        <f>1-Assumptions!$B$13-Assumptions!$B$12-Assumptions!$B$17</f>
        <v/>
      </c>
      <c r="C19" s="85" t="n"/>
      <c r="D19" s="85" t="n"/>
      <c r="E19" s="85" t="n"/>
      <c r="F19" s="85" t="n"/>
    </row>
    <row r="20">
      <c r="A20" s="85" t="inlineStr">
        <is>
          <t>PR &amp; communications</t>
        </is>
      </c>
      <c r="B20" s="116">
        <f>1-Assumptions!$B$14-Assumptions!$B$12-Assumptions!$B$17</f>
        <v/>
      </c>
      <c r="C20" s="85" t="n"/>
      <c r="D20" s="85" t="n"/>
      <c r="E20" s="85" t="n"/>
      <c r="F20" s="85" t="n"/>
    </row>
    <row r="21">
      <c r="A21" s="85" t="inlineStr">
        <is>
          <t>Public-integrity / OSINT</t>
        </is>
      </c>
      <c r="B21" s="116">
        <f>1-Assumptions!$B$15-Assumptions!$B$12-Assumptions!$B$17</f>
        <v/>
      </c>
      <c r="C21" s="85" t="n"/>
      <c r="D21" s="85" t="n"/>
      <c r="E21" s="85" t="n"/>
      <c r="F21" s="85" t="n"/>
    </row>
    <row r="22">
      <c r="A22" s="85" t="inlineStr">
        <is>
          <t>API</t>
        </is>
      </c>
      <c r="B22" s="116">
        <f>1-Assumptions!$B$16-Assumptions!$B$12-Assumptions!$B$17</f>
        <v/>
      </c>
      <c r="C22" s="85" t="n"/>
      <c r="D22" s="85" t="n"/>
      <c r="E22" s="85" t="n"/>
      <c r="F22" s="85" t="n"/>
    </row>
    <row r="23">
      <c r="A23" s="85" t="n"/>
      <c r="B23" s="85" t="n"/>
      <c r="C23" s="85" t="n"/>
      <c r="D23" s="85" t="n"/>
      <c r="E23" s="85" t="n"/>
      <c r="F23" s="85" t="n"/>
    </row>
    <row r="24">
      <c r="A24" s="85" t="n"/>
      <c r="B24" s="85" t="n"/>
      <c r="C24" s="85" t="n"/>
      <c r="D24" s="85" t="n"/>
      <c r="E24" s="85" t="n"/>
      <c r="F24" s="85" t="n"/>
    </row>
    <row r="25">
      <c r="A25" s="85" t="n"/>
      <c r="B25" s="85" t="n"/>
      <c r="C25" s="85" t="n"/>
      <c r="D25" s="85" t="n"/>
      <c r="E25" s="85" t="n"/>
      <c r="F25" s="85" t="n"/>
    </row>
    <row r="26">
      <c r="A26" s="85" t="n"/>
      <c r="B26" s="85" t="n"/>
      <c r="C26" s="85" t="n"/>
      <c r="D26" s="85" t="n"/>
      <c r="E26" s="85" t="n"/>
      <c r="F26" s="85" t="n"/>
    </row>
    <row r="27">
      <c r="A27" s="85" t="n"/>
      <c r="B27" s="85" t="n"/>
      <c r="C27" s="85" t="n"/>
      <c r="D27" s="85" t="n"/>
      <c r="E27" s="85" t="n"/>
      <c r="F27" s="85" t="n"/>
    </row>
    <row r="28">
      <c r="A28" s="85" t="n"/>
      <c r="B28" s="85" t="n"/>
      <c r="C28" s="85" t="n"/>
      <c r="D28" s="85" t="n"/>
      <c r="E28" s="85" t="n"/>
      <c r="F28" s="85" t="n"/>
    </row>
    <row r="29">
      <c r="A29" s="85" t="n"/>
      <c r="B29" s="85" t="n"/>
      <c r="C29" s="85" t="n"/>
      <c r="D29" s="85" t="n"/>
      <c r="E29" s="85" t="n"/>
      <c r="F29" s="85" t="n"/>
    </row>
    <row r="30">
      <c r="A30" s="85" t="n"/>
      <c r="B30" s="85" t="n"/>
      <c r="C30" s="85" t="n"/>
      <c r="D30" s="85" t="n"/>
      <c r="E30" s="85" t="n"/>
      <c r="F30" s="85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58" customWidth="1" style="39" min="1" max="1"/>
    <col width="11" customWidth="1" style="39" min="2" max="2"/>
    <col width="11" customWidth="1" style="39" min="3" max="3"/>
    <col width="11" customWidth="1" style="39" min="4" max="4"/>
    <col width="11" customWidth="1" style="39" min="5" max="5"/>
    <col width="11" customWidth="1" style="39" min="6" max="6"/>
  </cols>
  <sheetData>
    <row r="1">
      <c r="A1" s="114" t="inlineStr">
        <is>
          <t>SaaS metrics (base case unless the scenario switch is changed)</t>
        </is>
      </c>
    </row>
    <row r="2">
      <c r="A2" s="84" t="inlineStr">
        <is>
          <t>Churn rates are assumptions to validate in the pilots and first contracts.</t>
        </is>
      </c>
    </row>
    <row r="3">
      <c r="A3" s="117" t="inlineStr">
        <is>
          <t>Input</t>
        </is>
      </c>
      <c r="B3" s="117" t="inlineStr">
        <is>
          <t>Value</t>
        </is>
      </c>
    </row>
    <row r="4">
      <c r="A4" s="85" t="inlineStr">
        <is>
          <t>Annual logo churn — newsroom plans</t>
        </is>
      </c>
      <c r="B4" s="86" t="n">
        <v>0.15</v>
      </c>
    </row>
    <row r="5">
      <c r="A5" s="85" t="inlineStr">
        <is>
          <t>Annual logo churn — PR clients</t>
        </is>
      </c>
      <c r="B5" s="86" t="n">
        <v>0.2</v>
      </c>
    </row>
    <row r="6">
      <c r="A6" s="85" t="inlineStr">
        <is>
          <t>Annual logo churn — public-integrity licences</t>
        </is>
      </c>
      <c r="B6" s="86" t="n">
        <v>0.1</v>
      </c>
    </row>
    <row r="8">
      <c r="A8" s="117" t="inlineStr">
        <is>
          <t>€ thousands</t>
        </is>
      </c>
      <c r="B8" s="117" t="inlineStr">
        <is>
          <t>2027</t>
        </is>
      </c>
      <c r="C8" s="117" t="inlineStr">
        <is>
          <t>2028</t>
        </is>
      </c>
      <c r="D8" s="117" t="inlineStr">
        <is>
          <t>2029</t>
        </is>
      </c>
      <c r="E8" s="117" t="inlineStr">
        <is>
          <t>2030</t>
        </is>
      </c>
      <c r="F8" s="117" t="inlineStr">
        <is>
          <t>2031</t>
        </is>
      </c>
    </row>
    <row r="9">
      <c r="A9" s="85" t="inlineStr">
        <is>
          <t>ARR at year-end</t>
        </is>
      </c>
      <c r="B9" s="111">
        <f>Sales!B25</f>
        <v/>
      </c>
      <c r="C9" s="111">
        <f>Sales!C25</f>
        <v/>
      </c>
      <c r="D9" s="111">
        <f>Sales!D25</f>
        <v/>
      </c>
      <c r="E9" s="111">
        <f>Sales!E25</f>
        <v/>
      </c>
      <c r="F9" s="111">
        <f>Sales!F25</f>
        <v/>
      </c>
    </row>
    <row r="10">
      <c r="A10" s="85" t="inlineStr">
        <is>
          <t>Net new ARR</t>
        </is>
      </c>
      <c r="B10" s="110">
        <f>B9</f>
        <v/>
      </c>
      <c r="C10" s="110">
        <f>C9-B9</f>
        <v/>
      </c>
      <c r="D10" s="110">
        <f>D9-C9</f>
        <v/>
      </c>
      <c r="E10" s="110">
        <f>E9-D9</f>
        <v/>
      </c>
      <c r="F10" s="110">
        <f>F9-E9</f>
        <v/>
      </c>
    </row>
    <row r="11">
      <c r="A11" s="85" t="inlineStr">
        <is>
          <t>ARR growth</t>
        </is>
      </c>
      <c r="B11" s="116">
        <f>0</f>
        <v/>
      </c>
      <c r="C11" s="116">
        <f>IF(B9=0,0,C9/B9-1)</f>
        <v/>
      </c>
      <c r="D11" s="116">
        <f>IF(C9=0,0,D9/C9-1)</f>
        <v/>
      </c>
      <c r="E11" s="116">
        <f>IF(D9=0,0,E9/D9-1)</f>
        <v/>
      </c>
      <c r="F11" s="116">
        <f>IF(E9=0,0,F9/E9-1)</f>
        <v/>
      </c>
    </row>
    <row r="12">
      <c r="A12" s="85" t="inlineStr">
        <is>
          <t>Revenue</t>
        </is>
      </c>
      <c r="B12" s="111">
        <f>'FINANCIAL MODEL'!B8</f>
        <v/>
      </c>
      <c r="C12" s="111">
        <f>'FINANCIAL MODEL'!C8</f>
        <v/>
      </c>
      <c r="D12" s="111">
        <f>'FINANCIAL MODEL'!D8</f>
        <v/>
      </c>
      <c r="E12" s="111">
        <f>'FINANCIAL MODEL'!E8</f>
        <v/>
      </c>
      <c r="F12" s="111">
        <f>'FINANCIAL MODEL'!F8</f>
        <v/>
      </c>
    </row>
    <row r="13">
      <c r="A13" s="85" t="inlineStr">
        <is>
          <t>Revenue growth</t>
        </is>
      </c>
      <c r="B13" s="116">
        <f>0</f>
        <v/>
      </c>
      <c r="C13" s="116">
        <f>IF(B12=0,0,C12/B12-1)</f>
        <v/>
      </c>
      <c r="D13" s="116">
        <f>IF(C12=0,0,D12/C12-1)</f>
        <v/>
      </c>
      <c r="E13" s="116">
        <f>IF(D12=0,0,E12/D12-1)</f>
        <v/>
      </c>
      <c r="F13" s="116">
        <f>IF(E12=0,0,F12/E12-1)</f>
        <v/>
      </c>
    </row>
    <row r="14">
      <c r="A14" s="85" t="inlineStr">
        <is>
          <t>Gross margin %</t>
        </is>
      </c>
      <c r="B14" s="118">
        <f>'FINANCIAL MODEL'!B25</f>
        <v/>
      </c>
      <c r="C14" s="118">
        <f>'FINANCIAL MODEL'!C25</f>
        <v/>
      </c>
      <c r="D14" s="118">
        <f>'FINANCIAL MODEL'!D25</f>
        <v/>
      </c>
      <c r="E14" s="118">
        <f>'FINANCIAL MODEL'!E25</f>
        <v/>
      </c>
      <c r="F14" s="118">
        <f>'FINANCIAL MODEL'!F25</f>
        <v/>
      </c>
    </row>
    <row r="15">
      <c r="A15" s="85" t="inlineStr">
        <is>
          <t>EBITDA margin %</t>
        </is>
      </c>
      <c r="B15" s="118">
        <f>'FINANCIAL MODEL'!B26</f>
        <v/>
      </c>
      <c r="C15" s="118">
        <f>'FINANCIAL MODEL'!C26</f>
        <v/>
      </c>
      <c r="D15" s="118">
        <f>'FINANCIAL MODEL'!D26</f>
        <v/>
      </c>
      <c r="E15" s="118">
        <f>'FINANCIAL MODEL'!E26</f>
        <v/>
      </c>
      <c r="F15" s="118">
        <f>'FINANCIAL MODEL'!F26</f>
        <v/>
      </c>
    </row>
    <row r="16">
      <c r="A16" s="85" t="inlineStr">
        <is>
          <t>Rule of 40 (revenue growth + EBITDA margin)</t>
        </is>
      </c>
      <c r="B16" s="116">
        <f>B13+B15</f>
        <v/>
      </c>
      <c r="C16" s="116">
        <f>C13+C15</f>
        <v/>
      </c>
      <c r="D16" s="116">
        <f>D13+D15</f>
        <v/>
      </c>
      <c r="E16" s="116">
        <f>E13+E15</f>
        <v/>
      </c>
      <c r="F16" s="116">
        <f>F13+F15</f>
        <v/>
      </c>
    </row>
    <row r="17">
      <c r="A17" s="85" t="inlineStr">
        <is>
          <t>Customers at year-end (newsroom, PR, public-integrity)</t>
        </is>
      </c>
      <c r="B17" s="111">
        <f>Sales!B4+Sales!B11+Sales!B15</f>
        <v/>
      </c>
      <c r="C17" s="111">
        <f>Sales!C4+Sales!C11+Sales!C15</f>
        <v/>
      </c>
      <c r="D17" s="111">
        <f>Sales!D4+Sales!D11+Sales!D15</f>
        <v/>
      </c>
      <c r="E17" s="111">
        <f>Sales!E4+Sales!E11+Sales!E15</f>
        <v/>
      </c>
      <c r="F17" s="111">
        <f>Sales!F4+Sales!F11+Sales!F15</f>
        <v/>
      </c>
    </row>
    <row r="18">
      <c r="A18" s="85" t="inlineStr">
        <is>
          <t>Churned customers (prior year-end × churn)</t>
        </is>
      </c>
      <c r="B18" s="119">
        <f>0</f>
        <v/>
      </c>
      <c r="C18" s="119">
        <f>ROUND(Sales!B4*$B$4+Sales!B11*$B$5+Sales!B15*$B$6,1)</f>
        <v/>
      </c>
      <c r="D18" s="119">
        <f>ROUND(Sales!C4*$B$4+Sales!C11*$B$5+Sales!C15*$B$6,1)</f>
        <v/>
      </c>
      <c r="E18" s="119">
        <f>ROUND(Sales!D4*$B$4+Sales!D11*$B$5+Sales!D15*$B$6,1)</f>
        <v/>
      </c>
      <c r="F18" s="119">
        <f>ROUND(Sales!E4*$B$4+Sales!E11*$B$5+Sales!E15*$B$6,1)</f>
        <v/>
      </c>
    </row>
    <row r="19">
      <c r="A19" s="85" t="inlineStr">
        <is>
          <t>Gross new customers</t>
        </is>
      </c>
      <c r="B19" s="119">
        <f>B17</f>
        <v/>
      </c>
      <c r="C19" s="119">
        <f>C17-B17+C18</f>
        <v/>
      </c>
      <c r="D19" s="119">
        <f>D17-C17+D18</f>
        <v/>
      </c>
      <c r="E19" s="119">
        <f>E17-D17+E18</f>
        <v/>
      </c>
      <c r="F19" s="119">
        <f>F17-E17+F18</f>
        <v/>
      </c>
    </row>
    <row r="20">
      <c r="A20" s="85" t="inlineStr">
        <is>
          <t>Sales &amp; marketing spend (BD, AEs, commercial co-founder, commissions, marketing)</t>
        </is>
      </c>
      <c r="B20" s="110">
        <f>'Staff expenses'!B8+'Staff expenses'!B11+'Staff expenses'!B20+'Other expenses'!B13+'Other expenses'!B9</f>
        <v/>
      </c>
      <c r="C20" s="110">
        <f>'Staff expenses'!C8+'Staff expenses'!C11+'Staff expenses'!C20+'Other expenses'!C13+'Other expenses'!C9</f>
        <v/>
      </c>
      <c r="D20" s="110">
        <f>'Staff expenses'!D8+'Staff expenses'!D11+'Staff expenses'!D20+'Other expenses'!D13+'Other expenses'!D9</f>
        <v/>
      </c>
      <c r="E20" s="110">
        <f>'Staff expenses'!E8+'Staff expenses'!E11+'Staff expenses'!E20+'Other expenses'!E13+'Other expenses'!E9</f>
        <v/>
      </c>
      <c r="F20" s="110">
        <f>'Staff expenses'!F8+'Staff expenses'!F11+'Staff expenses'!F20+'Other expenses'!F13+'Other expenses'!F9</f>
        <v/>
      </c>
    </row>
    <row r="21">
      <c r="A21" s="85" t="inlineStr">
        <is>
          <t>Blended CAC (€k per new customer)</t>
        </is>
      </c>
      <c r="B21" s="119">
        <f>IF(B19=0,0,B20/B19)</f>
        <v/>
      </c>
      <c r="C21" s="119">
        <f>IF(C19=0,0,C20/C19)</f>
        <v/>
      </c>
      <c r="D21" s="119">
        <f>IF(D19=0,0,D20/D19)</f>
        <v/>
      </c>
      <c r="E21" s="119">
        <f>IF(E19=0,0,E20/E19)</f>
        <v/>
      </c>
      <c r="F21" s="119">
        <f>IF(F19=0,0,F20/F19)</f>
        <v/>
      </c>
    </row>
    <row r="22">
      <c r="A22" s="85" t="inlineStr">
        <is>
          <t>Average ARR per customer (€k, excl. API)</t>
        </is>
      </c>
      <c r="B22" s="119">
        <f>IF(B17=0,0,(B9-Sales!B22)/B17)</f>
        <v/>
      </c>
      <c r="C22" s="119">
        <f>IF(C17=0,0,(C9-Sales!C22)/C17)</f>
        <v/>
      </c>
      <c r="D22" s="119">
        <f>IF(D17=0,0,(D9-Sales!D22)/D17)</f>
        <v/>
      </c>
      <c r="E22" s="119">
        <f>IF(E17=0,0,(E9-Sales!E22)/E17)</f>
        <v/>
      </c>
      <c r="F22" s="119">
        <f>IF(F17=0,0,(F9-Sales!F22)/F17)</f>
        <v/>
      </c>
    </row>
    <row r="23">
      <c r="A23" s="85" t="inlineStr">
        <is>
          <t>Blended annual churn</t>
        </is>
      </c>
      <c r="B23" s="116">
        <f>$B$4</f>
        <v/>
      </c>
      <c r="C23" s="116">
        <f>IF(B17=0,$B$4,C18/B17)</f>
        <v/>
      </c>
      <c r="D23" s="116">
        <f>IF(C17=0,$B$4,D18/C17)</f>
        <v/>
      </c>
      <c r="E23" s="116">
        <f>IF(D17=0,$B$4,E18/D17)</f>
        <v/>
      </c>
      <c r="F23" s="116">
        <f>IF(E17=0,$B$4,F18/E17)</f>
        <v/>
      </c>
    </row>
    <row r="24">
      <c r="A24" s="85" t="inlineStr">
        <is>
          <t>CAC payback (months, gross-margin basis)</t>
        </is>
      </c>
      <c r="B24" s="119">
        <f>IF(B22*B14=0,0,B21/(B22*B14/12))</f>
        <v/>
      </c>
      <c r="C24" s="119">
        <f>IF(C22*C14=0,0,C21/(C22*C14/12))</f>
        <v/>
      </c>
      <c r="D24" s="119">
        <f>IF(D22*D14=0,0,D21/(D22*D14/12))</f>
        <v/>
      </c>
      <c r="E24" s="119">
        <f>IF(E22*E14=0,0,E21/(E22*E14/12))</f>
        <v/>
      </c>
      <c r="F24" s="119">
        <f>IF(F22*F14=0,0,F21/(F22*F14/12))</f>
        <v/>
      </c>
    </row>
    <row r="25">
      <c r="A25" s="85" t="inlineStr">
        <is>
          <t>Customer lifetime value (€k, gross-margin basis)</t>
        </is>
      </c>
      <c r="B25" s="119">
        <f>IF(B23=0,0,B22*B14/B23)</f>
        <v/>
      </c>
      <c r="C25" s="119">
        <f>IF(C23=0,0,C22*C14/C23)</f>
        <v/>
      </c>
      <c r="D25" s="119">
        <f>IF(D23=0,0,D22*D14/D23)</f>
        <v/>
      </c>
      <c r="E25" s="119">
        <f>IF(E23=0,0,E22*E14/E23)</f>
        <v/>
      </c>
      <c r="F25" s="119">
        <f>IF(F23=0,0,F22*F14/F23)</f>
        <v/>
      </c>
    </row>
    <row r="26">
      <c r="A26" s="85" t="inlineStr">
        <is>
          <t>LTV / CAC</t>
        </is>
      </c>
      <c r="B26" s="119">
        <f>IF(B21=0,0,B25/B21)</f>
        <v/>
      </c>
      <c r="C26" s="119">
        <f>IF(C21=0,0,C25/C21)</f>
        <v/>
      </c>
      <c r="D26" s="119">
        <f>IF(D21=0,0,D25/D21)</f>
        <v/>
      </c>
      <c r="E26" s="119">
        <f>IF(E21=0,0,E25/E21)</f>
        <v/>
      </c>
      <c r="F26" s="119">
        <f>IF(F21=0,0,F25/F21)</f>
        <v/>
      </c>
    </row>
    <row r="27">
      <c r="A27" s="85" t="inlineStr">
        <is>
          <t>Net burn (negative free cash flow)</t>
        </is>
      </c>
      <c r="B27" s="110">
        <f>MAX(0,-'FINANCIAL MODEL'!B60)</f>
        <v/>
      </c>
      <c r="C27" s="110">
        <f>MAX(0,-'FINANCIAL MODEL'!C60)</f>
        <v/>
      </c>
      <c r="D27" s="110">
        <f>MAX(0,-'FINANCIAL MODEL'!D60)</f>
        <v/>
      </c>
      <c r="E27" s="110">
        <f>MAX(0,-'FINANCIAL MODEL'!E60)</f>
        <v/>
      </c>
      <c r="F27" s="110">
        <f>MAX(0,-'FINANCIAL MODEL'!F60)</f>
        <v/>
      </c>
    </row>
    <row r="28">
      <c r="A28" s="85" t="inlineStr">
        <is>
          <t>Burn multiple (net burn / net new ARR)</t>
        </is>
      </c>
      <c r="B28" s="120">
        <f>IF(B10&lt;=0,0,B27/B10)</f>
        <v/>
      </c>
      <c r="C28" s="120">
        <f>IF(C10&lt;=0,0,C27/C10)</f>
        <v/>
      </c>
      <c r="D28" s="120">
        <f>IF(D10&lt;=0,0,D27/D10)</f>
        <v/>
      </c>
      <c r="E28" s="120">
        <f>IF(E10&lt;=0,0,E27/E10)</f>
        <v/>
      </c>
      <c r="F28" s="120">
        <f>IF(F10&lt;=0,0,F27/F10)</f>
        <v/>
      </c>
    </row>
    <row r="29">
      <c r="A29" s="85" t="inlineStr">
        <is>
          <t>Year-end cash</t>
        </is>
      </c>
      <c r="B29" s="111">
        <f>'FINANCIAL MODEL'!B67</f>
        <v/>
      </c>
      <c r="C29" s="111">
        <f>'FINANCIAL MODEL'!C67</f>
        <v/>
      </c>
      <c r="D29" s="111">
        <f>'FINANCIAL MODEL'!D67</f>
        <v/>
      </c>
      <c r="E29" s="111">
        <f>'FINANCIAL MODEL'!E67</f>
        <v/>
      </c>
      <c r="F29" s="111">
        <f>'FINANCIAL MODEL'!F67</f>
        <v/>
      </c>
    </row>
    <row r="30">
      <c r="A30" s="85" t="inlineStr">
        <is>
          <t>Runway at year-end (months of that year's net burn)</t>
        </is>
      </c>
      <c r="B30" s="119">
        <f>IF(B27=0,"self-funding",B29/(B27/12))</f>
        <v/>
      </c>
      <c r="C30" s="119">
        <f>IF(C27=0,"self-funding",C29/(C27/12))</f>
        <v/>
      </c>
      <c r="D30" s="119">
        <f>IF(D27=0,"self-funding",D29/(D27/12))</f>
        <v/>
      </c>
      <c r="E30" s="119">
        <f>IF(E27=0,"self-funding",E29/(E27/12))</f>
        <v/>
      </c>
      <c r="F30" s="119">
        <f>IF(F27=0,"self-funding",F29/(F27/12))</f>
        <v/>
      </c>
    </row>
    <row r="32">
      <c r="A32" s="84" t="inlineStr">
        <is>
          <t>CAC uses all sales &amp; marketing spend, including the commercial co-founder's full cost; LTV uses gross-margin-basis ARPA and blended churn (no expansion revenue assumed).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 filterMode="0">
    <outlinePr summaryBelow="1" summaryRight="1"/>
    <pageSetUpPr fitToPage="0"/>
  </sheetPr>
  <dimension ref="A1:D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2" customWidth="1" style="38" min="2" max="6"/>
    <col width="60" customWidth="1" style="38" min="7" max="7"/>
  </cols>
  <sheetData>
    <row r="1" ht="17.35" customHeight="1" s="39">
      <c r="A1" s="40" t="inlineStr">
        <is>
          <t>VAN: discount rate × exit multiple</t>
        </is>
      </c>
    </row>
    <row r="3" ht="15" customHeight="1" s="39">
      <c r="A3" s="38" t="inlineStr">
        <is>
          <t>Discount \ multiple</t>
        </is>
      </c>
      <c r="B3" s="38" t="n">
        <v>3</v>
      </c>
      <c r="C3" s="38" t="n">
        <v>4</v>
      </c>
      <c r="D3" s="38" t="n">
        <v>6</v>
      </c>
    </row>
    <row r="4" ht="15" customHeight="1" s="39">
      <c r="A4" s="59" t="n">
        <v>0.25</v>
      </c>
      <c r="B4" s="74">
        <f>NPV($A4,'FINANCIAL MODEL'!$B$60:$F$60)+B$3*'FINANCIAL MODEL'!$F$8/(1+$A4)^5</f>
        <v/>
      </c>
      <c r="C4" s="74">
        <f>NPV($A4,'FINANCIAL MODEL'!$B$60:$F$60)+C$3*'FINANCIAL MODEL'!$F$8/(1+$A4)^5</f>
        <v/>
      </c>
      <c r="D4" s="74">
        <f>NPV($A4,'FINANCIAL MODEL'!$B$60:$F$60)+D$3*'FINANCIAL MODEL'!$F$8/(1+$A4)^5</f>
        <v/>
      </c>
    </row>
    <row r="5" ht="15" customHeight="1" s="39">
      <c r="A5" s="59" t="n">
        <v>0.3</v>
      </c>
      <c r="B5" s="74">
        <f>NPV($A5,'FINANCIAL MODEL'!$B$60:$F$60)+B$3*'FINANCIAL MODEL'!$F$8/(1+$A5)^5</f>
        <v/>
      </c>
      <c r="C5" s="74">
        <f>NPV($A5,'FINANCIAL MODEL'!$B$60:$F$60)+C$3*'FINANCIAL MODEL'!$F$8/(1+$A5)^5</f>
        <v/>
      </c>
      <c r="D5" s="74">
        <f>NPV($A5,'FINANCIAL MODEL'!$B$60:$F$60)+D$3*'FINANCIAL MODEL'!$F$8/(1+$A5)^5</f>
        <v/>
      </c>
    </row>
    <row r="6" ht="15" customHeight="1" s="39">
      <c r="A6" s="59" t="n">
        <v>0.35</v>
      </c>
      <c r="B6" s="74">
        <f>NPV($A6,'FINANCIAL MODEL'!$B$60:$F$60)+B$3*'FINANCIAL MODEL'!$F$8/(1+$A6)^5</f>
        <v/>
      </c>
      <c r="C6" s="74">
        <f>NPV($A6,'FINANCIAL MODEL'!$B$60:$F$60)+C$3*'FINANCIAL MODEL'!$F$8/(1+$A6)^5</f>
        <v/>
      </c>
      <c r="D6" s="74">
        <f>NPV($A6,'FINANCIAL MODEL'!$B$60:$F$60)+D$3*'FINANCIAL MODEL'!$F$8/(1+$A6)^5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outlinePr summaryBelow="1" summaryRight="1"/>
    <pageSetUpPr fitToPage="0"/>
  </sheetPr>
  <dimension ref="A1:F1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54" customWidth="1" style="38" min="1" max="1"/>
    <col width="12" customWidth="1" style="38" min="2" max="6"/>
    <col width="60" customWidth="1" style="38" min="7" max="7"/>
  </cols>
  <sheetData>
    <row r="1" ht="17.35" customHeight="1" s="39">
      <c r="A1" s="40" t="inlineStr">
        <is>
          <t>Scenario comparison (plan §7.10)</t>
        </is>
      </c>
    </row>
    <row r="3" ht="15" customHeight="1" s="39">
      <c r="A3" s="41" t="inlineStr">
        <is>
          <t>Scenario</t>
        </is>
      </c>
      <c r="B3" s="41" t="inlineStr">
        <is>
          <t>2031 sales</t>
        </is>
      </c>
      <c r="C3" s="41" t="inlineStr">
        <is>
          <t>2031 EBITDA</t>
        </is>
      </c>
      <c r="D3" s="41" t="inlineStr">
        <is>
          <t>EBITDA ≥ 0</t>
        </is>
      </c>
      <c r="E3" s="41" t="inlineStr">
        <is>
          <t>Lowest year-end cash</t>
        </is>
      </c>
      <c r="F3" s="41" t="inlineStr">
        <is>
          <t>ARR 2031</t>
        </is>
      </c>
    </row>
    <row r="4" ht="15" customHeight="1" s="39">
      <c r="A4" s="38" t="inlineStr">
        <is>
          <t>Downside</t>
        </is>
      </c>
      <c r="B4" s="38" t="n">
        <v>773</v>
      </c>
      <c r="C4" s="38" t="n">
        <v>72</v>
      </c>
      <c r="D4" s="38" t="n">
        <v>2031</v>
      </c>
      <c r="E4" s="38" t="n">
        <v>166</v>
      </c>
      <c r="F4" s="38" t="n">
        <v>809</v>
      </c>
    </row>
    <row r="5" ht="15" customHeight="1" s="39">
      <c r="A5" s="38" t="inlineStr">
        <is>
          <t>Base</t>
        </is>
      </c>
      <c r="B5" s="38" t="n">
        <v>1497</v>
      </c>
      <c r="C5" s="38" t="n">
        <v>196</v>
      </c>
      <c r="D5" s="38" t="n">
        <v>2029</v>
      </c>
      <c r="E5" s="38" t="n">
        <v>300</v>
      </c>
      <c r="F5" s="38" t="n">
        <v>1606</v>
      </c>
    </row>
    <row r="6" ht="15" customHeight="1" s="39">
      <c r="A6" s="38" t="inlineStr">
        <is>
          <t>Upside</t>
        </is>
      </c>
      <c r="B6" s="38" t="n">
        <v>2251</v>
      </c>
      <c r="C6" s="38" t="n">
        <v>769</v>
      </c>
      <c r="D6" s="38" t="n">
        <v>2028</v>
      </c>
      <c r="E6" s="38" t="n">
        <v>351</v>
      </c>
      <c r="F6" s="38" t="n">
        <v>2395</v>
      </c>
    </row>
    <row r="8" ht="15" customHeight="1" s="39">
      <c r="A8" s="38" t="inlineStr">
        <is>
          <t>Live check of selected scenario:</t>
        </is>
      </c>
      <c r="B8" s="38">
        <f>IF(AND('FINANCIAL MODEL'!F8=INDEX(B4:B6,Assumptions!B4),'FINANCIAL MODEL'!F18=INDEX(C4:C6,Assumptions!B4)),"OK","CHECK")</f>
        <v/>
      </c>
    </row>
    <row r="10">
      <c r="A10" s="38" t="inlineStr">
        <is>
          <t>Unit-cost sensitivity (base customers and prices; only the usage cost shares change)</t>
        </is>
      </c>
    </row>
    <row r="11">
      <c r="A11" s="38" t="inlineStr">
        <is>
          <t>Case</t>
        </is>
      </c>
      <c r="B11" s="38" t="inlineStr">
        <is>
          <t>Usage shares (news/PR/PI/API)</t>
        </is>
      </c>
      <c r="C11" s="38" t="inlineStr">
        <is>
          <t>2031 GM</t>
        </is>
      </c>
      <c r="D11" s="38" t="inlineStr">
        <is>
          <t>2031 EBITDA</t>
        </is>
      </c>
      <c r="E11" s="38" t="inlineStr">
        <is>
          <t>EBITDA ≥ 0</t>
        </is>
      </c>
      <c r="F11" s="38" t="inlineStr">
        <is>
          <t>Lowest cash</t>
        </is>
      </c>
    </row>
    <row r="12">
      <c r="A12" s="38" t="inlineStr">
        <is>
          <t>Economy search</t>
        </is>
      </c>
      <c r="B12" s="38" t="inlineStr">
        <is>
          <t>5/6/10/10</t>
        </is>
      </c>
      <c r="C12" s="121" t="n">
        <v>0.773</v>
      </c>
      <c r="D12" s="38" t="n">
        <v>317</v>
      </c>
      <c r="E12" s="38" t="n">
        <v>2028</v>
      </c>
      <c r="F12" s="38" t="n">
        <v>335</v>
      </c>
    </row>
    <row r="13">
      <c r="A13" s="38" t="inlineStr">
        <is>
          <t>Search prices +50%</t>
        </is>
      </c>
      <c r="B13" s="38" t="inlineStr">
        <is>
          <t>22/22/10/36</t>
        </is>
      </c>
      <c r="C13" s="121" t="n">
        <v>0.633</v>
      </c>
      <c r="D13" s="38" t="n">
        <v>107</v>
      </c>
      <c r="E13" s="38" t="n">
        <v>2029</v>
      </c>
      <c r="F13" s="38" t="n">
        <v>249</v>
      </c>
    </row>
    <row r="14">
      <c r="A14" s="38" t="inlineStr">
        <is>
          <t>Cost per credit ×2</t>
        </is>
      </c>
      <c r="B14" s="38" t="inlineStr">
        <is>
          <t>30/30/10/50</t>
        </is>
      </c>
      <c r="C14" s="121" t="n">
        <v>0.605</v>
      </c>
      <c r="D14" s="38" t="n">
        <v>129</v>
      </c>
      <c r="E14" s="38" t="n">
        <v>2030</v>
      </c>
      <c r="F14" s="38" t="n">
        <v>186</v>
      </c>
    </row>
    <row r="16">
      <c r="A16" s="38" t="inlineStr">
        <is>
          <t>Scenario staff follow the hiring triggers (customers, cash floor); values computed with the plan model. The staff tab holds the base case.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 filterMode="0">
    <outlinePr summaryBelow="1" summaryRight="1"/>
    <pageSetUpPr fitToPage="0"/>
  </sheetPr>
  <dimension ref="A1:E1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8" customWidth="1" style="38" min="1" max="1"/>
    <col width="14" customWidth="1" style="38" min="2" max="3"/>
    <col width="16" customWidth="1" style="38" min="4" max="4"/>
    <col width="50" customWidth="1" style="38" min="5" max="5"/>
  </cols>
  <sheetData>
    <row r="1" ht="17.35" customHeight="1" s="39">
      <c r="A1" s="40" t="inlineStr">
        <is>
          <t>Pilot KPIs — 12-week action plan and June 2027 go / no-go</t>
        </is>
      </c>
    </row>
    <row r="3" ht="15" customHeight="1" s="39">
      <c r="A3" s="41" t="inlineStr">
        <is>
          <t>Metric</t>
        </is>
      </c>
      <c r="B3" s="41" t="inlineStr">
        <is>
          <t>Current</t>
        </is>
      </c>
      <c r="C3" s="41" t="inlineStr">
        <is>
          <t>Target week 12</t>
        </is>
      </c>
      <c r="D3" s="41" t="inlineStr">
        <is>
          <t>Target June 2027</t>
        </is>
      </c>
      <c r="E3" s="41" t="inlineStr">
        <is>
          <t>Why</t>
        </is>
      </c>
    </row>
    <row r="4" ht="15" customHeight="1" s="39">
      <c r="A4" s="47" t="inlineStr">
        <is>
          <t>Pilot teams started</t>
        </is>
      </c>
      <c r="B4" s="57" t="n"/>
      <c r="C4" s="47" t="n">
        <v>8</v>
      </c>
      <c r="D4" s="47" t="n"/>
      <c r="E4" s="47" t="n"/>
    </row>
    <row r="5" ht="15" customHeight="1" s="39">
      <c r="A5" s="47" t="inlineStr">
        <is>
          <t>Users activated</t>
        </is>
      </c>
      <c r="B5" s="57" t="n"/>
      <c r="C5" s="76" t="n">
        <v>0.7</v>
      </c>
      <c r="D5" s="47" t="n"/>
      <c r="E5" s="47" t="n"/>
    </row>
    <row r="6" ht="15" customHeight="1" s="39">
      <c r="A6" s="47" t="inlineStr">
        <is>
          <t>Useful-check rate</t>
        </is>
      </c>
      <c r="B6" s="57" t="n"/>
      <c r="C6" s="76" t="n">
        <v>0.6</v>
      </c>
      <c r="D6" s="47" t="n"/>
      <c r="E6" s="47" t="n"/>
    </row>
    <row r="7" ht="15" customHeight="1" s="39">
      <c r="A7" s="47" t="inlineStr">
        <is>
          <t>Week-2 retention</t>
        </is>
      </c>
      <c r="B7" s="57" t="n"/>
      <c r="C7" s="76" t="n">
        <v>0.5</v>
      </c>
      <c r="D7" s="76" t="n">
        <v>0.5</v>
      </c>
      <c r="E7" s="47" t="n"/>
    </row>
    <row r="8" ht="15" customHeight="1" s="39">
      <c r="A8" s="47" t="inlineStr">
        <is>
          <t>UMUX-Lite / SUS score</t>
        </is>
      </c>
      <c r="B8" s="57" t="n"/>
      <c r="C8" s="47" t="n">
        <v>68</v>
      </c>
      <c r="D8" s="47" t="n"/>
      <c r="E8" s="47" t="n"/>
    </row>
    <row r="9" ht="15" customHeight="1" s="39">
      <c r="A9" s="47" t="inlineStr">
        <is>
          <t>Pilot task pass rate</t>
        </is>
      </c>
      <c r="B9" s="57" t="n"/>
      <c r="C9" s="76" t="n">
        <v>0.8</v>
      </c>
      <c r="D9" s="47" t="n"/>
      <c r="E9" s="47" t="n"/>
    </row>
    <row r="10" ht="15" customHeight="1" s="39">
      <c r="A10" s="47" t="inlineStr">
        <is>
          <t>Paid offers accepted / LOIs</t>
        </is>
      </c>
      <c r="B10" s="57" t="n"/>
      <c r="C10" s="47" t="n">
        <v>2</v>
      </c>
      <c r="D10" s="47" t="n"/>
      <c r="E10" s="47" t="n"/>
    </row>
    <row r="11" ht="15" customHeight="1" s="39">
      <c r="A11" s="47" t="inlineStr">
        <is>
          <t>Paying customers</t>
        </is>
      </c>
      <c r="B11" s="57" t="n"/>
      <c r="C11" s="47" t="n">
        <v>0</v>
      </c>
      <c r="D11" s="47" t="n">
        <v>5</v>
      </c>
      <c r="E11" s="47" t="inlineStr">
        <is>
          <t>or €60k signed annual value</t>
        </is>
      </c>
    </row>
    <row r="12" ht="15" customHeight="1" s="39">
      <c r="A12" s="47" t="inlineStr">
        <is>
          <t>Source direction vs human-expert reference (new benchmark)</t>
        </is>
      </c>
      <c r="B12" s="91" t="n">
        <v>0.9399999999999999</v>
      </c>
      <c r="C12" s="76" t="n">
        <v>0.9</v>
      </c>
      <c r="D12" s="76" t="n">
        <v>0.8</v>
      </c>
      <c r="E12" s="82" t="inlineStr">
        <is>
          <t>0.93–0.96 on typed claims (8 runs, 18 Oct 2026; model+review reference, provisional); video claims: wrong side 26–33% on a single-annotator set</t>
        </is>
      </c>
    </row>
    <row r="13" ht="15" customHeight="1" s="39">
      <c r="A13" s="47" t="inlineStr">
        <is>
          <t>Claims with unresolved references</t>
        </is>
      </c>
      <c r="B13" s="57" t="n"/>
      <c r="C13" s="76" t="n">
        <v>0.08</v>
      </c>
      <c r="D13" s="76" t="n">
        <v>0.05</v>
      </c>
      <c r="E13" s="47" t="inlineStr">
        <is>
          <t>16% today</t>
        </is>
      </c>
    </row>
    <row r="14" ht="15" customHeight="1" s="39">
      <c r="A14" s="47" t="inlineStr">
        <is>
          <t>Commercial co-founder candidates met</t>
        </is>
      </c>
      <c r="B14" s="57" t="n"/>
      <c r="C14" s="47" t="n">
        <v>3</v>
      </c>
      <c r="D14" s="47" t="inlineStr">
        <is>
          <t>signed</t>
        </is>
      </c>
      <c r="E14" s="47" t="n"/>
    </row>
    <row r="15">
      <c r="A15" s="38" t="inlineStr">
        <is>
          <t>Newsroom cost of sales (share of price)</t>
        </is>
      </c>
      <c r="B15" s="91" t="n">
        <v>0.14</v>
      </c>
      <c r="C15" s="91" t="n">
        <v>0.15</v>
      </c>
      <c r="D15" s="91" t="n">
        <v>0.15</v>
      </c>
      <c r="E15" s="82" t="inlineStr">
        <is>
          <t>Usage cost at full allowance use, list prices (check credits; spend ledger)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2026-10-08T22:58:54Z</dcterms:created>
  <dcterms:modified xmlns:dcterms="http://purl.org/dc/terms/" xmlns:xsi="http://www.w3.org/2001/XMLSchema-instance" xsi:type="dcterms:W3CDTF">2026-10-20T10:23:06Z</dcterms:modified>
  <cp:revision>0</cp:revision>
</cp:coreProperties>
</file>